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cglynn\Documents\"/>
    </mc:Choice>
  </mc:AlternateContent>
  <bookViews>
    <workbookView xWindow="0" yWindow="0" windowWidth="3540" windowHeight="1140" tabRatio="927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Z28" i="1" l="1"/>
  <c r="EZ25" i="1"/>
  <c r="EZ26" i="1"/>
  <c r="FA9" i="1"/>
  <c r="FB9" i="1"/>
  <c r="EX28" i="1" l="1"/>
  <c r="EX25" i="1"/>
  <c r="EX26" i="1"/>
  <c r="EY28" i="1"/>
  <c r="EY26" i="1"/>
  <c r="EY25" i="1"/>
  <c r="EY29" i="1" l="1"/>
  <c r="EX29" i="1"/>
  <c r="EY9" i="1"/>
  <c r="EW26" i="1" l="1"/>
  <c r="EW25" i="1"/>
  <c r="EW28" i="1"/>
  <c r="EX9" i="1"/>
  <c r="EV9" i="1" l="1"/>
  <c r="EW9" i="1"/>
  <c r="EW29" i="1"/>
  <c r="EV29" i="1"/>
  <c r="EU28" i="1"/>
  <c r="EU25" i="1"/>
  <c r="EU26" i="1"/>
  <c r="EV28" i="1"/>
  <c r="EV25" i="1"/>
  <c r="EV26" i="1"/>
  <c r="EU29" i="1" l="1"/>
  <c r="ET29" i="1"/>
  <c r="ES29" i="1"/>
  <c r="ES25" i="1"/>
  <c r="ES28" i="1"/>
  <c r="ES26" i="1"/>
  <c r="ET28" i="1"/>
  <c r="ET25" i="1"/>
  <c r="ET26" i="1"/>
  <c r="ES9" i="1"/>
  <c r="EU9" i="1"/>
  <c r="ET9" i="1"/>
  <c r="ER25" i="1" l="1"/>
  <c r="ER26" i="1"/>
  <c r="ER28" i="1"/>
  <c r="ER9" i="1" l="1"/>
  <c r="EQ28" i="1"/>
  <c r="EQ25" i="1"/>
  <c r="EQ26" i="1"/>
  <c r="ER29" i="1" l="1"/>
  <c r="EP9" i="1"/>
  <c r="EP29" i="1" s="1"/>
  <c r="EQ9" i="1"/>
  <c r="EQ29" i="1" s="1"/>
  <c r="EP28" i="1"/>
  <c r="EP25" i="1"/>
  <c r="EO28" i="1" l="1"/>
  <c r="EO25" i="1"/>
  <c r="EN25" i="1" l="1"/>
  <c r="EO9" i="1"/>
  <c r="EO29" i="1" s="1"/>
  <c r="EM9" i="1" l="1"/>
  <c r="EM28" i="1"/>
  <c r="EM26" i="1"/>
  <c r="EM25" i="1"/>
  <c r="EL26" i="1"/>
  <c r="EL25" i="1"/>
  <c r="EN9" i="1"/>
  <c r="EN29" i="1" s="1"/>
  <c r="EM29" i="1" l="1"/>
  <c r="EK25" i="1"/>
  <c r="EL9" i="1"/>
  <c r="EL29" i="1" s="1"/>
  <c r="EK9" i="1" l="1"/>
  <c r="EK29" i="1" s="1"/>
  <c r="EJ25" i="1"/>
  <c r="EJ26" i="1"/>
  <c r="EI9" i="1" l="1"/>
  <c r="EI29" i="1" s="1"/>
  <c r="EJ9" i="1"/>
  <c r="EJ29" i="1" s="1"/>
  <c r="EF25" i="1"/>
  <c r="EF26" i="1"/>
  <c r="EH25" i="1"/>
  <c r="EH26" i="1"/>
  <c r="EI25" i="1"/>
  <c r="EI26" i="1"/>
  <c r="EH29" i="1" l="1"/>
  <c r="EG29" i="1"/>
  <c r="EF29" i="1"/>
  <c r="DZ29" i="1"/>
  <c r="DY29" i="1"/>
  <c r="EE25" i="1"/>
  <c r="EE29" i="1" s="1"/>
  <c r="EE26" i="1"/>
  <c r="ED26" i="1" l="1"/>
  <c r="ED25" i="1"/>
  <c r="ED29" i="1" s="1"/>
  <c r="EA25" i="1" l="1"/>
  <c r="EA29" i="1" s="1"/>
  <c r="EA26" i="1"/>
  <c r="EB26" i="1"/>
  <c r="EB25" i="1"/>
  <c r="EB29" i="1" s="1"/>
  <c r="EC25" i="1"/>
  <c r="EC29" i="1" s="1"/>
  <c r="EC26" i="1"/>
  <c r="DX26" i="1" l="1"/>
  <c r="DX25" i="1"/>
  <c r="DX29" i="1" s="1"/>
  <c r="DV9" i="1"/>
  <c r="DW25" i="1"/>
  <c r="DW29" i="1" s="1"/>
  <c r="DV25" i="1"/>
  <c r="DW28" i="1"/>
  <c r="DV26" i="1"/>
  <c r="DW26" i="1"/>
  <c r="DU9" i="1"/>
  <c r="DU25" i="1"/>
  <c r="DS9" i="1"/>
  <c r="DS29" i="1" s="1"/>
  <c r="DS25" i="1"/>
  <c r="AG121" i="1" s="1"/>
  <c r="DT9" i="1"/>
  <c r="DT25" i="1"/>
  <c r="DT29" i="1"/>
  <c r="DR6" i="1"/>
  <c r="DR7" i="1"/>
  <c r="DR8" i="1"/>
  <c r="DR29" i="1" s="1"/>
  <c r="DR9" i="1"/>
  <c r="AG105" i="1" s="1"/>
  <c r="DR25" i="1"/>
  <c r="DN9" i="1"/>
  <c r="DN29" i="1" s="1"/>
  <c r="DN25" i="1"/>
  <c r="DO9" i="1"/>
  <c r="DO29" i="1" s="1"/>
  <c r="DO25" i="1"/>
  <c r="DP9" i="1"/>
  <c r="DP25" i="1"/>
  <c r="DP29" i="1"/>
  <c r="DQ9" i="1"/>
  <c r="DQ21" i="1"/>
  <c r="DQ25" i="1"/>
  <c r="DQ29" i="1"/>
  <c r="DJ9" i="1"/>
  <c r="DJ25" i="1"/>
  <c r="DJ26" i="1"/>
  <c r="DJ29" i="1"/>
  <c r="AE125" i="1" s="1"/>
  <c r="DK9" i="1"/>
  <c r="DK25" i="1"/>
  <c r="DK26" i="1"/>
  <c r="DK29" i="1"/>
  <c r="DL9" i="1"/>
  <c r="DL25" i="1"/>
  <c r="DL26" i="1"/>
  <c r="DL29" i="1"/>
  <c r="DM9" i="1"/>
  <c r="DM25" i="1"/>
  <c r="DM26" i="1"/>
  <c r="DM29" i="1"/>
  <c r="DF9" i="1"/>
  <c r="DF25" i="1"/>
  <c r="DF29" i="1" s="1"/>
  <c r="DF26" i="1"/>
  <c r="AD122" i="1" s="1"/>
  <c r="DG9" i="1"/>
  <c r="DG25" i="1"/>
  <c r="DG29" i="1" s="1"/>
  <c r="DG26" i="1"/>
  <c r="DH9" i="1"/>
  <c r="DH25" i="1"/>
  <c r="DH26" i="1"/>
  <c r="DH29" i="1" s="1"/>
  <c r="DI9" i="1"/>
  <c r="DI25" i="1"/>
  <c r="DI26" i="1"/>
  <c r="DI29" i="1" s="1"/>
  <c r="DB9" i="1"/>
  <c r="DB29" i="1" s="1"/>
  <c r="AC125" i="1" s="1"/>
  <c r="DB25" i="1"/>
  <c r="AC121" i="1" s="1"/>
  <c r="DB26" i="1"/>
  <c r="DC9" i="1"/>
  <c r="DC29" i="1" s="1"/>
  <c r="DC25" i="1"/>
  <c r="DC26" i="1"/>
  <c r="DD9" i="1"/>
  <c r="DD29" i="1" s="1"/>
  <c r="DD25" i="1"/>
  <c r="DD26" i="1"/>
  <c r="DE9" i="1"/>
  <c r="DE29" i="1" s="1"/>
  <c r="DE25" i="1"/>
  <c r="DE26" i="1"/>
  <c r="CX9" i="1"/>
  <c r="CX29" i="1" s="1"/>
  <c r="AB125" i="1" s="1"/>
  <c r="CX25" i="1"/>
  <c r="CX26" i="1"/>
  <c r="CY9" i="1"/>
  <c r="CY29" i="1" s="1"/>
  <c r="CY25" i="1"/>
  <c r="CY26" i="1"/>
  <c r="CZ9" i="1"/>
  <c r="CZ29" i="1" s="1"/>
  <c r="CZ25" i="1"/>
  <c r="CZ26" i="1"/>
  <c r="DA9" i="1"/>
  <c r="DA29" i="1" s="1"/>
  <c r="DA25" i="1"/>
  <c r="DA26" i="1"/>
  <c r="CT9" i="1"/>
  <c r="CT21" i="1"/>
  <c r="CT25" i="1"/>
  <c r="CT29" i="1" s="1"/>
  <c r="CT26" i="1"/>
  <c r="AA122" i="1" s="1"/>
  <c r="CU9" i="1"/>
  <c r="CU21" i="1"/>
  <c r="CU29" i="1" s="1"/>
  <c r="CU25" i="1"/>
  <c r="AA121" i="1" s="1"/>
  <c r="CU26" i="1"/>
  <c r="CV9" i="1"/>
  <c r="CV21" i="1"/>
  <c r="CV29" i="1" s="1"/>
  <c r="CV25" i="1"/>
  <c r="CV26" i="1"/>
  <c r="CW25" i="1"/>
  <c r="CW29" i="1" s="1"/>
  <c r="CW26" i="1"/>
  <c r="CP21" i="1"/>
  <c r="Z117" i="1" s="1"/>
  <c r="CP25" i="1"/>
  <c r="CP26" i="1"/>
  <c r="CQ9" i="1"/>
  <c r="Z105" i="1" s="1"/>
  <c r="CQ21" i="1"/>
  <c r="CQ25" i="1"/>
  <c r="CQ26" i="1"/>
  <c r="CQ29" i="1"/>
  <c r="CR9" i="1"/>
  <c r="CR29" i="1" s="1"/>
  <c r="CR21" i="1"/>
  <c r="CR22" i="1"/>
  <c r="CR25" i="1"/>
  <c r="CR26" i="1"/>
  <c r="CS9" i="1"/>
  <c r="CS19" i="1"/>
  <c r="CS21" i="1"/>
  <c r="CS25" i="1"/>
  <c r="CS26" i="1"/>
  <c r="CS29" i="1"/>
  <c r="CL9" i="1"/>
  <c r="CL21" i="1"/>
  <c r="CL29" i="1" s="1"/>
  <c r="CL25" i="1"/>
  <c r="Y121" i="1" s="1"/>
  <c r="CL26" i="1"/>
  <c r="CM9" i="1"/>
  <c r="CM21" i="1"/>
  <c r="CM29" i="1" s="1"/>
  <c r="CM25" i="1"/>
  <c r="CM26" i="1"/>
  <c r="CN21" i="1"/>
  <c r="CN29" i="1" s="1"/>
  <c r="CN26" i="1"/>
  <c r="CO21" i="1"/>
  <c r="CO29" i="1" s="1"/>
  <c r="CO25" i="1"/>
  <c r="CO26" i="1"/>
  <c r="CH9" i="1"/>
  <c r="CH29" i="1" s="1"/>
  <c r="CH25" i="1"/>
  <c r="CH26" i="1"/>
  <c r="CI9" i="1"/>
  <c r="CI21" i="1"/>
  <c r="CI25" i="1"/>
  <c r="CI26" i="1"/>
  <c r="CI29" i="1"/>
  <c r="CJ9" i="1"/>
  <c r="CJ21" i="1"/>
  <c r="CJ25" i="1"/>
  <c r="CJ29" i="1" s="1"/>
  <c r="CJ26" i="1"/>
  <c r="X122" i="1" s="1"/>
  <c r="CK9" i="1"/>
  <c r="CK21" i="1"/>
  <c r="CK29" i="1" s="1"/>
  <c r="CK25" i="1"/>
  <c r="CK26" i="1"/>
  <c r="CD21" i="1"/>
  <c r="CD29" i="1" s="1"/>
  <c r="CD25" i="1"/>
  <c r="CD26" i="1"/>
  <c r="CE21" i="1"/>
  <c r="CE29" i="1" s="1"/>
  <c r="CE25" i="1"/>
  <c r="CE26" i="1"/>
  <c r="CF21" i="1"/>
  <c r="CF29" i="1" s="1"/>
  <c r="CF25" i="1"/>
  <c r="CF26" i="1"/>
  <c r="CG25" i="1"/>
  <c r="CG29" i="1" s="1"/>
  <c r="CG26" i="1"/>
  <c r="BZ21" i="1"/>
  <c r="V117" i="1" s="1"/>
  <c r="BZ25" i="1"/>
  <c r="BZ26" i="1"/>
  <c r="CA21" i="1"/>
  <c r="CA29" i="1" s="1"/>
  <c r="CA25" i="1"/>
  <c r="CA26" i="1"/>
  <c r="CB9" i="1"/>
  <c r="V105" i="1" s="1"/>
  <c r="CB21" i="1"/>
  <c r="CB25" i="1"/>
  <c r="CB26" i="1"/>
  <c r="CB29" i="1"/>
  <c r="CC21" i="1"/>
  <c r="CC25" i="1"/>
  <c r="CC26" i="1"/>
  <c r="CC29" i="1"/>
  <c r="BV25" i="1"/>
  <c r="BV26" i="1"/>
  <c r="BV29" i="1"/>
  <c r="BW25" i="1"/>
  <c r="BW26" i="1"/>
  <c r="BW29" i="1"/>
  <c r="BX21" i="1"/>
  <c r="BX29" i="1" s="1"/>
  <c r="U125" i="1" s="1"/>
  <c r="BX25" i="1"/>
  <c r="BX26" i="1"/>
  <c r="BY21" i="1"/>
  <c r="BY29" i="1" s="1"/>
  <c r="BY25" i="1"/>
  <c r="BY26" i="1"/>
  <c r="BR25" i="1"/>
  <c r="BR26" i="1"/>
  <c r="BR29" i="1"/>
  <c r="BS25" i="1"/>
  <c r="BS29" i="1" s="1"/>
  <c r="BS26" i="1"/>
  <c r="BT21" i="1"/>
  <c r="BT29" i="1" s="1"/>
  <c r="BT25" i="1"/>
  <c r="BT26" i="1"/>
  <c r="BU25" i="1"/>
  <c r="BU29" i="1" s="1"/>
  <c r="BU26" i="1"/>
  <c r="T122" i="1" s="1"/>
  <c r="BN21" i="1"/>
  <c r="BN29" i="1" s="1"/>
  <c r="BN25" i="1"/>
  <c r="S121" i="1" s="1"/>
  <c r="BN26" i="1"/>
  <c r="BO21" i="1"/>
  <c r="BO29" i="1" s="1"/>
  <c r="BO25" i="1"/>
  <c r="BO26" i="1"/>
  <c r="BP25" i="1"/>
  <c r="BP29" i="1" s="1"/>
  <c r="BP26" i="1"/>
  <c r="S122" i="1" s="1"/>
  <c r="BQ25" i="1"/>
  <c r="BQ26" i="1"/>
  <c r="BQ29" i="1"/>
  <c r="BJ21" i="1"/>
  <c r="BJ29" i="1"/>
  <c r="BK21" i="1"/>
  <c r="R117" i="1" s="1"/>
  <c r="BK25" i="1"/>
  <c r="BK26" i="1"/>
  <c r="BL21" i="1"/>
  <c r="BL29" i="1" s="1"/>
  <c r="BL25" i="1"/>
  <c r="BL26" i="1"/>
  <c r="BM21" i="1"/>
  <c r="BM29" i="1" s="1"/>
  <c r="BM25" i="1"/>
  <c r="BM26" i="1"/>
  <c r="BF25" i="1"/>
  <c r="BF26" i="1"/>
  <c r="BF29" i="1"/>
  <c r="BG25" i="1"/>
  <c r="BG29" i="1" s="1"/>
  <c r="BG26" i="1"/>
  <c r="BH21" i="1"/>
  <c r="BH29" i="1" s="1"/>
  <c r="BH25" i="1"/>
  <c r="BH26" i="1"/>
  <c r="BI21" i="1"/>
  <c r="BI22" i="1"/>
  <c r="Q118" i="1" s="1"/>
  <c r="BI25" i="1"/>
  <c r="BI26" i="1"/>
  <c r="BB25" i="1"/>
  <c r="BB26" i="1"/>
  <c r="BB29" i="1"/>
  <c r="P125" i="1" s="1"/>
  <c r="BC25" i="1"/>
  <c r="BC29" i="1" s="1"/>
  <c r="BC26" i="1"/>
  <c r="BD25" i="1"/>
  <c r="BD29" i="1" s="1"/>
  <c r="BD26" i="1"/>
  <c r="BE25" i="1"/>
  <c r="BE26" i="1"/>
  <c r="BE29" i="1"/>
  <c r="AX25" i="1"/>
  <c r="AX26" i="1"/>
  <c r="AX29" i="1"/>
  <c r="O125" i="1" s="1"/>
  <c r="AY26" i="1"/>
  <c r="AY29" i="1"/>
  <c r="AZ25" i="1"/>
  <c r="AZ29" i="1" s="1"/>
  <c r="AZ26" i="1"/>
  <c r="O122" i="1" s="1"/>
  <c r="BA25" i="1"/>
  <c r="BA26" i="1"/>
  <c r="BA29" i="1"/>
  <c r="AT25" i="1"/>
  <c r="AT26" i="1"/>
  <c r="AT29" i="1"/>
  <c r="AU25" i="1"/>
  <c r="AU26" i="1"/>
  <c r="AU29" i="1"/>
  <c r="AV25" i="1"/>
  <c r="AV29" i="1" s="1"/>
  <c r="AV26" i="1"/>
  <c r="AW25" i="1"/>
  <c r="AW29" i="1" s="1"/>
  <c r="AW26" i="1"/>
  <c r="AP25" i="1"/>
  <c r="AP29" i="1" s="1"/>
  <c r="AP26" i="1"/>
  <c r="M122" i="1" s="1"/>
  <c r="AQ25" i="1"/>
  <c r="AQ26" i="1"/>
  <c r="AQ29" i="1"/>
  <c r="AR25" i="1"/>
  <c r="AR26" i="1"/>
  <c r="AR29" i="1"/>
  <c r="AS25" i="1"/>
  <c r="M121" i="1" s="1"/>
  <c r="AS26" i="1"/>
  <c r="AL25" i="1"/>
  <c r="AL29" i="1" s="1"/>
  <c r="L125" i="1" s="1"/>
  <c r="AL26" i="1"/>
  <c r="AM25" i="1"/>
  <c r="AM29" i="1" s="1"/>
  <c r="AM26" i="1"/>
  <c r="AN25" i="1"/>
  <c r="AN26" i="1"/>
  <c r="AN29" i="1"/>
  <c r="AO25" i="1"/>
  <c r="AO26" i="1"/>
  <c r="AO29" i="1"/>
  <c r="AH29" i="1"/>
  <c r="AI29" i="1"/>
  <c r="AJ29" i="1"/>
  <c r="K125" i="1" s="1"/>
  <c r="AK29" i="1"/>
  <c r="AD29" i="1"/>
  <c r="AE29" i="1"/>
  <c r="J125" i="1" s="1"/>
  <c r="AF29" i="1"/>
  <c r="AG29" i="1"/>
  <c r="Z25" i="1"/>
  <c r="Z29" i="1" s="1"/>
  <c r="I125" i="1" s="1"/>
  <c r="Z26" i="1"/>
  <c r="I122" i="1" s="1"/>
  <c r="AA25" i="1"/>
  <c r="AA26" i="1"/>
  <c r="AA29" i="1"/>
  <c r="AB25" i="1"/>
  <c r="AB26" i="1"/>
  <c r="AB29" i="1"/>
  <c r="AC29" i="1"/>
  <c r="V25" i="1"/>
  <c r="V26" i="1"/>
  <c r="V29" i="1"/>
  <c r="W25" i="1"/>
  <c r="W26" i="1"/>
  <c r="W29" i="1"/>
  <c r="X25" i="1"/>
  <c r="X29" i="1" s="1"/>
  <c r="X26" i="1"/>
  <c r="Y25" i="1"/>
  <c r="Y29" i="1" s="1"/>
  <c r="Y26" i="1"/>
  <c r="R25" i="1"/>
  <c r="R29" i="1" s="1"/>
  <c r="R26" i="1"/>
  <c r="G122" i="1" s="1"/>
  <c r="S25" i="1"/>
  <c r="S26" i="1"/>
  <c r="S29" i="1"/>
  <c r="T25" i="1"/>
  <c r="T26" i="1"/>
  <c r="T29" i="1"/>
  <c r="U25" i="1"/>
  <c r="G121" i="1" s="1"/>
  <c r="U26" i="1"/>
  <c r="N25" i="1"/>
  <c r="N29" i="1" s="1"/>
  <c r="F125" i="1" s="1"/>
  <c r="N26" i="1"/>
  <c r="O25" i="1"/>
  <c r="O29" i="1" s="1"/>
  <c r="O26" i="1"/>
  <c r="P25" i="1"/>
  <c r="P26" i="1"/>
  <c r="P29" i="1"/>
  <c r="Q25" i="1"/>
  <c r="Q26" i="1"/>
  <c r="Q29" i="1"/>
  <c r="J29" i="1"/>
  <c r="K29" i="1"/>
  <c r="L29" i="1"/>
  <c r="E125" i="1" s="1"/>
  <c r="M29" i="1"/>
  <c r="F29" i="1"/>
  <c r="G29" i="1"/>
  <c r="D125" i="1" s="1"/>
  <c r="H29" i="1"/>
  <c r="I29" i="1"/>
  <c r="B29" i="1"/>
  <c r="C29" i="1"/>
  <c r="C125" i="1" s="1"/>
  <c r="D29" i="1"/>
  <c r="E29" i="1"/>
  <c r="AG102" i="1"/>
  <c r="AG103" i="1"/>
  <c r="AG104" i="1"/>
  <c r="AG108" i="1"/>
  <c r="AG110" i="1"/>
  <c r="AG111" i="1"/>
  <c r="AG115" i="1"/>
  <c r="AG116" i="1"/>
  <c r="AG117" i="1"/>
  <c r="AG118" i="1"/>
  <c r="DR26" i="1"/>
  <c r="DS26" i="1"/>
  <c r="DT26" i="1"/>
  <c r="DU26" i="1"/>
  <c r="AG122" i="1"/>
  <c r="AF102" i="1"/>
  <c r="AF103" i="1"/>
  <c r="AF104" i="1"/>
  <c r="AF105" i="1"/>
  <c r="AF108" i="1"/>
  <c r="AF110" i="1"/>
  <c r="AF111" i="1"/>
  <c r="AF115" i="1"/>
  <c r="AF116" i="1"/>
  <c r="AF117" i="1"/>
  <c r="AF118" i="1"/>
  <c r="AF121" i="1"/>
  <c r="DN26" i="1"/>
  <c r="DP26" i="1"/>
  <c r="DQ26" i="1"/>
  <c r="AF122" i="1"/>
  <c r="AE102" i="1"/>
  <c r="AE103" i="1"/>
  <c r="AE104" i="1"/>
  <c r="AE105" i="1"/>
  <c r="AE108" i="1"/>
  <c r="AE110" i="1"/>
  <c r="AE111" i="1"/>
  <c r="AE115" i="1"/>
  <c r="AE116" i="1"/>
  <c r="AE117" i="1"/>
  <c r="AE118" i="1"/>
  <c r="AE121" i="1"/>
  <c r="AE122" i="1"/>
  <c r="AD102" i="1"/>
  <c r="AD103" i="1"/>
  <c r="AD104" i="1"/>
  <c r="AD105" i="1"/>
  <c r="AD108" i="1"/>
  <c r="AD110" i="1"/>
  <c r="AD111" i="1"/>
  <c r="AD115" i="1"/>
  <c r="AD116" i="1"/>
  <c r="AD117" i="1"/>
  <c r="AD118" i="1"/>
  <c r="AD121" i="1"/>
  <c r="AC102" i="1"/>
  <c r="AC103" i="1"/>
  <c r="AC104" i="1"/>
  <c r="AC105" i="1"/>
  <c r="AC108" i="1"/>
  <c r="AC110" i="1"/>
  <c r="AC111" i="1"/>
  <c r="AC115" i="1"/>
  <c r="AC116" i="1"/>
  <c r="AC117" i="1"/>
  <c r="AC118" i="1"/>
  <c r="AC122" i="1"/>
  <c r="AB102" i="1"/>
  <c r="AB103" i="1"/>
  <c r="AB104" i="1"/>
  <c r="AB108" i="1"/>
  <c r="AB110" i="1"/>
  <c r="AB111" i="1"/>
  <c r="AB112" i="1"/>
  <c r="AB115" i="1"/>
  <c r="AB116" i="1"/>
  <c r="AB117" i="1"/>
  <c r="AB118" i="1"/>
  <c r="AB121" i="1"/>
  <c r="AB122" i="1"/>
  <c r="AA102" i="1"/>
  <c r="AA103" i="1"/>
  <c r="AA104" i="1"/>
  <c r="AA105" i="1"/>
  <c r="AA108" i="1"/>
  <c r="AA110" i="1"/>
  <c r="AA111" i="1"/>
  <c r="AA112" i="1"/>
  <c r="AA115" i="1"/>
  <c r="AA116" i="1"/>
  <c r="AA117" i="1"/>
  <c r="AA118" i="1"/>
  <c r="Z102" i="1"/>
  <c r="Z103" i="1"/>
  <c r="Z104" i="1"/>
  <c r="Z108" i="1"/>
  <c r="Z110" i="1"/>
  <c r="Z111" i="1"/>
  <c r="Z112" i="1"/>
  <c r="Z115" i="1"/>
  <c r="Z116" i="1"/>
  <c r="Z118" i="1"/>
  <c r="Z121" i="1"/>
  <c r="Z122" i="1"/>
  <c r="Y102" i="1"/>
  <c r="Y103" i="1"/>
  <c r="Y104" i="1"/>
  <c r="Y105" i="1"/>
  <c r="Y108" i="1"/>
  <c r="Y110" i="1"/>
  <c r="Y111" i="1"/>
  <c r="Y112" i="1"/>
  <c r="Y115" i="1"/>
  <c r="Y116" i="1"/>
  <c r="Y117" i="1"/>
  <c r="Y118" i="1"/>
  <c r="Y122" i="1"/>
  <c r="X102" i="1"/>
  <c r="X103" i="1"/>
  <c r="X104" i="1"/>
  <c r="X108" i="1"/>
  <c r="X110" i="1"/>
  <c r="X111" i="1"/>
  <c r="X112" i="1"/>
  <c r="X115" i="1"/>
  <c r="X116" i="1"/>
  <c r="X117" i="1"/>
  <c r="X118" i="1"/>
  <c r="X121" i="1"/>
  <c r="W102" i="1"/>
  <c r="W103" i="1"/>
  <c r="W104" i="1"/>
  <c r="W105" i="1"/>
  <c r="W108" i="1"/>
  <c r="W110" i="1"/>
  <c r="W111" i="1"/>
  <c r="W112" i="1"/>
  <c r="W115" i="1"/>
  <c r="W116" i="1"/>
  <c r="W117" i="1"/>
  <c r="W118" i="1"/>
  <c r="W122" i="1"/>
  <c r="V102" i="1"/>
  <c r="V103" i="1"/>
  <c r="V104" i="1"/>
  <c r="V108" i="1"/>
  <c r="V110" i="1"/>
  <c r="V111" i="1"/>
  <c r="V112" i="1"/>
  <c r="V115" i="1"/>
  <c r="V116" i="1"/>
  <c r="V118" i="1"/>
  <c r="V121" i="1"/>
  <c r="V122" i="1"/>
  <c r="U102" i="1"/>
  <c r="U103" i="1"/>
  <c r="U104" i="1"/>
  <c r="U105" i="1"/>
  <c r="U108" i="1"/>
  <c r="U110" i="1"/>
  <c r="U111" i="1"/>
  <c r="U112" i="1"/>
  <c r="U115" i="1"/>
  <c r="U116" i="1"/>
  <c r="U117" i="1"/>
  <c r="U118" i="1"/>
  <c r="U121" i="1"/>
  <c r="U122" i="1"/>
  <c r="T102" i="1"/>
  <c r="T103" i="1"/>
  <c r="T104" i="1"/>
  <c r="T105" i="1"/>
  <c r="T108" i="1"/>
  <c r="T110" i="1"/>
  <c r="T111" i="1"/>
  <c r="T112" i="1"/>
  <c r="T115" i="1"/>
  <c r="T116" i="1"/>
  <c r="T117" i="1"/>
  <c r="T118" i="1"/>
  <c r="T121" i="1"/>
  <c r="S102" i="1"/>
  <c r="S103" i="1"/>
  <c r="S104" i="1"/>
  <c r="S105" i="1"/>
  <c r="S108" i="1"/>
  <c r="S110" i="1"/>
  <c r="S111" i="1"/>
  <c r="S112" i="1"/>
  <c r="S115" i="1"/>
  <c r="S116" i="1"/>
  <c r="S117" i="1"/>
  <c r="S118" i="1"/>
  <c r="R102" i="1"/>
  <c r="R103" i="1"/>
  <c r="R104" i="1"/>
  <c r="R105" i="1"/>
  <c r="R108" i="1"/>
  <c r="R110" i="1"/>
  <c r="R111" i="1"/>
  <c r="R112" i="1"/>
  <c r="R115" i="1"/>
  <c r="R116" i="1"/>
  <c r="R118" i="1"/>
  <c r="R121" i="1"/>
  <c r="R122" i="1"/>
  <c r="Q102" i="1"/>
  <c r="Q103" i="1"/>
  <c r="Q104" i="1"/>
  <c r="Q105" i="1"/>
  <c r="Q108" i="1"/>
  <c r="Q110" i="1"/>
  <c r="Q111" i="1"/>
  <c r="Q112" i="1"/>
  <c r="Q115" i="1"/>
  <c r="Q116" i="1"/>
  <c r="Q117" i="1"/>
  <c r="Q122" i="1"/>
  <c r="P102" i="1"/>
  <c r="P103" i="1"/>
  <c r="P104" i="1"/>
  <c r="P105" i="1"/>
  <c r="P108" i="1"/>
  <c r="P110" i="1"/>
  <c r="P111" i="1"/>
  <c r="P112" i="1"/>
  <c r="P115" i="1"/>
  <c r="P116" i="1"/>
  <c r="P117" i="1"/>
  <c r="P122" i="1"/>
  <c r="O102" i="1"/>
  <c r="O103" i="1"/>
  <c r="O104" i="1"/>
  <c r="O105" i="1"/>
  <c r="O108" i="1"/>
  <c r="O110" i="1"/>
  <c r="O111" i="1"/>
  <c r="O112" i="1"/>
  <c r="O115" i="1"/>
  <c r="O116" i="1"/>
  <c r="O117" i="1"/>
  <c r="O118" i="1"/>
  <c r="O121" i="1"/>
  <c r="N102" i="1"/>
  <c r="N103" i="1"/>
  <c r="N104" i="1"/>
  <c r="N105" i="1"/>
  <c r="N108" i="1"/>
  <c r="N110" i="1"/>
  <c r="N111" i="1"/>
  <c r="N112" i="1"/>
  <c r="N115" i="1"/>
  <c r="N116" i="1"/>
  <c r="N117" i="1"/>
  <c r="N118" i="1"/>
  <c r="N122" i="1"/>
  <c r="M102" i="1"/>
  <c r="M103" i="1"/>
  <c r="M104" i="1"/>
  <c r="M105" i="1"/>
  <c r="M108" i="1"/>
  <c r="M110" i="1"/>
  <c r="M111" i="1"/>
  <c r="M112" i="1"/>
  <c r="M115" i="1"/>
  <c r="M116" i="1"/>
  <c r="M117" i="1"/>
  <c r="M118" i="1"/>
  <c r="L102" i="1"/>
  <c r="L103" i="1"/>
  <c r="L104" i="1"/>
  <c r="L105" i="1"/>
  <c r="L108" i="1"/>
  <c r="L110" i="1"/>
  <c r="L111" i="1"/>
  <c r="L112" i="1"/>
  <c r="L115" i="1"/>
  <c r="L116" i="1"/>
  <c r="L117" i="1"/>
  <c r="L118" i="1"/>
  <c r="L122" i="1"/>
  <c r="K102" i="1"/>
  <c r="K103" i="1"/>
  <c r="K104" i="1"/>
  <c r="K105" i="1"/>
  <c r="K108" i="1"/>
  <c r="K110" i="1"/>
  <c r="K111" i="1"/>
  <c r="K112" i="1"/>
  <c r="K115" i="1"/>
  <c r="K116" i="1"/>
  <c r="K117" i="1"/>
  <c r="K118" i="1"/>
  <c r="K121" i="1"/>
  <c r="K122" i="1"/>
  <c r="J102" i="1"/>
  <c r="J103" i="1"/>
  <c r="J104" i="1"/>
  <c r="J105" i="1"/>
  <c r="J108" i="1"/>
  <c r="J110" i="1"/>
  <c r="J111" i="1"/>
  <c r="J112" i="1"/>
  <c r="J115" i="1"/>
  <c r="J116" i="1"/>
  <c r="J117" i="1"/>
  <c r="J118" i="1"/>
  <c r="J121" i="1"/>
  <c r="J122" i="1"/>
  <c r="I102" i="1"/>
  <c r="I103" i="1"/>
  <c r="I104" i="1"/>
  <c r="I105" i="1"/>
  <c r="I108" i="1"/>
  <c r="I110" i="1"/>
  <c r="I111" i="1"/>
  <c r="I112" i="1"/>
  <c r="I115" i="1"/>
  <c r="I116" i="1"/>
  <c r="I117" i="1"/>
  <c r="I118" i="1"/>
  <c r="I121" i="1"/>
  <c r="H102" i="1"/>
  <c r="H103" i="1"/>
  <c r="H104" i="1"/>
  <c r="H105" i="1"/>
  <c r="H108" i="1"/>
  <c r="H110" i="1"/>
  <c r="H111" i="1"/>
  <c r="H112" i="1"/>
  <c r="H115" i="1"/>
  <c r="H116" i="1"/>
  <c r="H117" i="1"/>
  <c r="H118" i="1"/>
  <c r="H122" i="1"/>
  <c r="G102" i="1"/>
  <c r="G103" i="1"/>
  <c r="G104" i="1"/>
  <c r="G105" i="1"/>
  <c r="G108" i="1"/>
  <c r="G110" i="1"/>
  <c r="G111" i="1"/>
  <c r="G112" i="1"/>
  <c r="G115" i="1"/>
  <c r="G116" i="1"/>
  <c r="G117" i="1"/>
  <c r="G118" i="1"/>
  <c r="F102" i="1"/>
  <c r="F103" i="1"/>
  <c r="F104" i="1"/>
  <c r="F105" i="1"/>
  <c r="F108" i="1"/>
  <c r="F110" i="1"/>
  <c r="F111" i="1"/>
  <c r="F112" i="1"/>
  <c r="F115" i="1"/>
  <c r="F116" i="1"/>
  <c r="F117" i="1"/>
  <c r="F118" i="1"/>
  <c r="F122" i="1"/>
  <c r="E102" i="1"/>
  <c r="E103" i="1"/>
  <c r="E104" i="1"/>
  <c r="E105" i="1"/>
  <c r="E108" i="1"/>
  <c r="E110" i="1"/>
  <c r="E111" i="1"/>
  <c r="E112" i="1"/>
  <c r="E115" i="1"/>
  <c r="E116" i="1"/>
  <c r="E117" i="1"/>
  <c r="E118" i="1"/>
  <c r="E121" i="1"/>
  <c r="E122" i="1"/>
  <c r="D102" i="1"/>
  <c r="D103" i="1"/>
  <c r="D104" i="1"/>
  <c r="D105" i="1"/>
  <c r="D108" i="1"/>
  <c r="D110" i="1"/>
  <c r="D111" i="1"/>
  <c r="D112" i="1"/>
  <c r="D115" i="1"/>
  <c r="D116" i="1"/>
  <c r="D121" i="1"/>
  <c r="D122" i="1"/>
  <c r="C102" i="1"/>
  <c r="C103" i="1"/>
  <c r="C104" i="1"/>
  <c r="C105" i="1"/>
  <c r="C108" i="1"/>
  <c r="C110" i="1"/>
  <c r="C111" i="1"/>
  <c r="C112" i="1"/>
  <c r="C115" i="1"/>
  <c r="C11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C99" i="1"/>
  <c r="C128" i="1"/>
  <c r="DO28" i="1"/>
  <c r="N125" i="1" l="1"/>
  <c r="S125" i="1"/>
  <c r="T125" i="1"/>
  <c r="W125" i="1"/>
  <c r="X125" i="1"/>
  <c r="Y125" i="1"/>
  <c r="AA125" i="1"/>
  <c r="H125" i="1"/>
  <c r="AD125" i="1"/>
  <c r="AF125" i="1"/>
  <c r="F121" i="1"/>
  <c r="F126" i="1" s="1"/>
  <c r="H121" i="1"/>
  <c r="H126" i="1" s="1"/>
  <c r="L121" i="1"/>
  <c r="L126" i="1" s="1"/>
  <c r="N121" i="1"/>
  <c r="N126" i="1" s="1"/>
  <c r="P121" i="1"/>
  <c r="P126" i="1" s="1"/>
  <c r="X105" i="1"/>
  <c r="X126" i="1" s="1"/>
  <c r="AB105" i="1"/>
  <c r="AB126" i="1" s="1"/>
  <c r="BI29" i="1"/>
  <c r="Q125" i="1" s="1"/>
  <c r="BK29" i="1"/>
  <c r="R125" i="1" s="1"/>
  <c r="BZ29" i="1"/>
  <c r="V125" i="1" s="1"/>
  <c r="CP29" i="1"/>
  <c r="Z125" i="1" s="1"/>
  <c r="DV29" i="1"/>
  <c r="Q121" i="1"/>
  <c r="Q126" i="1" s="1"/>
  <c r="W121" i="1"/>
  <c r="W126" i="1" s="1"/>
  <c r="U29" i="1"/>
  <c r="G125" i="1" s="1"/>
  <c r="AS29" i="1"/>
  <c r="M125" i="1" s="1"/>
  <c r="DU29" i="1"/>
  <c r="AG125" i="1" s="1"/>
  <c r="AE126" i="1"/>
  <c r="Y126" i="1"/>
  <c r="J126" i="1"/>
  <c r="AC126" i="1"/>
  <c r="AF126" i="1"/>
  <c r="C126" i="1"/>
  <c r="U126" i="1"/>
  <c r="Z126" i="1"/>
  <c r="AD126" i="1"/>
  <c r="O126" i="1"/>
  <c r="S126" i="1"/>
  <c r="E126" i="1"/>
  <c r="G126" i="1"/>
  <c r="R126" i="1"/>
  <c r="AA126" i="1"/>
  <c r="AG126" i="1"/>
  <c r="M126" i="1"/>
  <c r="D126" i="1"/>
  <c r="I126" i="1"/>
  <c r="K126" i="1"/>
  <c r="T126" i="1"/>
  <c r="V126" i="1"/>
</calcChain>
</file>

<file path=xl/sharedStrings.xml><?xml version="1.0" encoding="utf-8"?>
<sst xmlns="http://schemas.openxmlformats.org/spreadsheetml/2006/main" count="78" uniqueCount="37">
  <si>
    <t>Usage of VO Protocols at NASA Archives</t>
  </si>
  <si>
    <t>Daily rate of requests for week ending…</t>
  </si>
  <si>
    <t>Week</t>
  </si>
  <si>
    <t>HEASARC</t>
  </si>
  <si>
    <t>Cone</t>
  </si>
  <si>
    <t>TAP/S</t>
  </si>
  <si>
    <t>TAP/AS</t>
  </si>
  <si>
    <t>SIA</t>
  </si>
  <si>
    <t>SIA-Img</t>
  </si>
  <si>
    <t>MAST</t>
  </si>
  <si>
    <t>SSA</t>
  </si>
  <si>
    <t>Registry</t>
  </si>
  <si>
    <t>Key:</t>
  </si>
  <si>
    <t>Cone: Cone search service request</t>
  </si>
  <si>
    <t>TAP/S: Table Access Protocol (TAP) Synchronous request</t>
  </si>
  <si>
    <t>TAP/AS: TAP Asynchronous request</t>
  </si>
  <si>
    <t>SIA: Simple Image Access Request (i.e., returning VOTable of available images)</t>
  </si>
  <si>
    <t>SIA-Img: Simple Image Access data request (request for image that had been indexed in VOTable)</t>
  </si>
  <si>
    <t>Registry: Data request involving query of registry content</t>
  </si>
  <si>
    <t>Sources:</t>
  </si>
  <si>
    <t>Cone matches  %search%.php%SR=%</t>
  </si>
  <si>
    <t>SIA matches %siap/search%.php%</t>
  </si>
  <si>
    <t>SSA matches %ssap/search%.php%</t>
  </si>
  <si>
    <t>Regstry from STScI-Registry logs looking for %.asmx% exclude schema%, wsdl$ wsdl1$</t>
  </si>
  <si>
    <t>IRSA</t>
  </si>
  <si>
    <t>NED</t>
  </si>
  <si>
    <t>SIA (in IRSA)</t>
  </si>
  <si>
    <t>HEASARC Cone and TAP request from HEASARC Access Logs: The interval is 0000 ET Monday- 2400 ET Sunday</t>
  </si>
  <si>
    <t>HEASARC SIA and SIA-IMG from SkyView Access Logs: Interval same as above</t>
  </si>
  <si>
    <t>SIA-Img looking for requestID=skv%: Interval same as above</t>
  </si>
  <si>
    <t>MAST Cone,SIA/SSA from MAST logs: Interval same as above</t>
  </si>
  <si>
    <t>IRSA data reported from Email: Prior to November 2015 interval save as above but using PT days.  Starting November23 2014 weeks run from 0000 PT Thursday to 2400 PT Wednesday following date in column.</t>
  </si>
  <si>
    <t>NED data reported by Email.  Weeks end one day earlier than column heading.</t>
  </si>
  <si>
    <t>SUM</t>
  </si>
  <si>
    <t xml:space="preserve"> </t>
  </si>
  <si>
    <t>TAP</t>
  </si>
  <si>
    <t>SIA2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</si>
</sst>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4" fontId="2" fillId="0" borderId="0" xfId="0" applyNumberFormat="1" applyFont="1"/>
    <xf numFmtId="0" fontId="2" fillId="0" borderId="0" xfId="0" applyFont="1"/>
    <xf numFmtId="3" fontId="0" fillId="0" borderId="0" xfId="0" applyNumberFormat="1"/>
    <xf numFmtId="0" fontId="3" fillId="0" borderId="0" xfId="0" applyFont="1"/>
    <xf numFmtId="1" fontId="0" fillId="0" borderId="0" xfId="0" applyNumberFormat="1"/>
    <xf numFmtId="14" fontId="0" fillId="0" borderId="0" xfId="0" applyNumberFormat="1"/>
    <xf numFmtId="2" fontId="0" fillId="0" borderId="0" xfId="0" applyNumberFormat="1"/>
    <xf numFmtId="3" fontId="4" fillId="0" borderId="0" xfId="0" applyNumberFormat="1" applyFont="1"/>
    <xf numFmtId="0" fontId="5" fillId="0" borderId="0" xfId="0" applyFont="1"/>
    <xf numFmtId="1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370160269255902E-2"/>
          <c:y val="2.3557203182225626E-2"/>
          <c:w val="0.84239744703764241"/>
          <c:h val="0.96290814437471184"/>
        </c:manualLayout>
      </c:layout>
      <c:scatterChart>
        <c:scatterStyle val="lineMarker"/>
        <c:varyColors val="0"/>
        <c:ser>
          <c:idx val="0"/>
          <c:order val="0"/>
          <c:tx>
            <c:v>HEASARC Cone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</c:spPr>
          </c:marker>
          <c:xVal>
            <c:numRef>
              <c:f>Sheet1!$B$3:$ZZ$3</c:f>
              <c:numCache>
                <c:formatCode>m/d/yyyy</c:formatCode>
                <c:ptCount val="701"/>
                <c:pt idx="0">
                  <c:v>41931</c:v>
                </c:pt>
                <c:pt idx="1">
                  <c:v>41938</c:v>
                </c:pt>
                <c:pt idx="2">
                  <c:v>41945</c:v>
                </c:pt>
                <c:pt idx="3">
                  <c:v>41952</c:v>
                </c:pt>
                <c:pt idx="4">
                  <c:v>41959</c:v>
                </c:pt>
                <c:pt idx="5">
                  <c:v>41966</c:v>
                </c:pt>
                <c:pt idx="6">
                  <c:v>41973</c:v>
                </c:pt>
                <c:pt idx="7">
                  <c:v>41980</c:v>
                </c:pt>
                <c:pt idx="8">
                  <c:v>41987</c:v>
                </c:pt>
                <c:pt idx="9">
                  <c:v>41994</c:v>
                </c:pt>
                <c:pt idx="10">
                  <c:v>42001</c:v>
                </c:pt>
                <c:pt idx="11">
                  <c:v>42008</c:v>
                </c:pt>
                <c:pt idx="12">
                  <c:v>42015</c:v>
                </c:pt>
                <c:pt idx="13">
                  <c:v>42022</c:v>
                </c:pt>
                <c:pt idx="14">
                  <c:v>42029</c:v>
                </c:pt>
                <c:pt idx="15">
                  <c:v>42036</c:v>
                </c:pt>
                <c:pt idx="16">
                  <c:v>42043</c:v>
                </c:pt>
                <c:pt idx="17">
                  <c:v>42050</c:v>
                </c:pt>
                <c:pt idx="18">
                  <c:v>42057</c:v>
                </c:pt>
                <c:pt idx="19">
                  <c:v>42064</c:v>
                </c:pt>
                <c:pt idx="20">
                  <c:v>42071</c:v>
                </c:pt>
                <c:pt idx="21">
                  <c:v>42078</c:v>
                </c:pt>
                <c:pt idx="22">
                  <c:v>42085</c:v>
                </c:pt>
                <c:pt idx="23">
                  <c:v>42092</c:v>
                </c:pt>
                <c:pt idx="24">
                  <c:v>42099</c:v>
                </c:pt>
                <c:pt idx="25">
                  <c:v>42106</c:v>
                </c:pt>
                <c:pt idx="26">
                  <c:v>42113</c:v>
                </c:pt>
                <c:pt idx="27">
                  <c:v>42120</c:v>
                </c:pt>
                <c:pt idx="28">
                  <c:v>42127</c:v>
                </c:pt>
                <c:pt idx="29">
                  <c:v>42134</c:v>
                </c:pt>
                <c:pt idx="30">
                  <c:v>42141</c:v>
                </c:pt>
                <c:pt idx="31">
                  <c:v>42148</c:v>
                </c:pt>
                <c:pt idx="32">
                  <c:v>42155</c:v>
                </c:pt>
                <c:pt idx="33">
                  <c:v>42162</c:v>
                </c:pt>
                <c:pt idx="34">
                  <c:v>42169</c:v>
                </c:pt>
                <c:pt idx="35">
                  <c:v>42176</c:v>
                </c:pt>
                <c:pt idx="36">
                  <c:v>42183</c:v>
                </c:pt>
                <c:pt idx="37">
                  <c:v>42190</c:v>
                </c:pt>
                <c:pt idx="38">
                  <c:v>42197</c:v>
                </c:pt>
                <c:pt idx="39">
                  <c:v>42204</c:v>
                </c:pt>
                <c:pt idx="40">
                  <c:v>42211</c:v>
                </c:pt>
                <c:pt idx="41">
                  <c:v>42218</c:v>
                </c:pt>
                <c:pt idx="42">
                  <c:v>42225</c:v>
                </c:pt>
                <c:pt idx="43">
                  <c:v>42232</c:v>
                </c:pt>
                <c:pt idx="44">
                  <c:v>42239</c:v>
                </c:pt>
                <c:pt idx="45">
                  <c:v>42246</c:v>
                </c:pt>
                <c:pt idx="46">
                  <c:v>42253</c:v>
                </c:pt>
                <c:pt idx="47">
                  <c:v>42260</c:v>
                </c:pt>
                <c:pt idx="48">
                  <c:v>42267</c:v>
                </c:pt>
                <c:pt idx="49">
                  <c:v>42274</c:v>
                </c:pt>
                <c:pt idx="50">
                  <c:v>42281</c:v>
                </c:pt>
                <c:pt idx="51">
                  <c:v>42288</c:v>
                </c:pt>
                <c:pt idx="52">
                  <c:v>42295</c:v>
                </c:pt>
                <c:pt idx="53">
                  <c:v>42302</c:v>
                </c:pt>
                <c:pt idx="54">
                  <c:v>42309</c:v>
                </c:pt>
                <c:pt idx="55">
                  <c:v>42316</c:v>
                </c:pt>
                <c:pt idx="56">
                  <c:v>42323</c:v>
                </c:pt>
                <c:pt idx="57">
                  <c:v>42330</c:v>
                </c:pt>
                <c:pt idx="58">
                  <c:v>42337</c:v>
                </c:pt>
                <c:pt idx="59">
                  <c:v>42344</c:v>
                </c:pt>
                <c:pt idx="60">
                  <c:v>42351</c:v>
                </c:pt>
                <c:pt idx="61">
                  <c:v>42358</c:v>
                </c:pt>
                <c:pt idx="62">
                  <c:v>42365</c:v>
                </c:pt>
                <c:pt idx="63">
                  <c:v>42372</c:v>
                </c:pt>
                <c:pt idx="64">
                  <c:v>42379</c:v>
                </c:pt>
                <c:pt idx="65">
                  <c:v>42386</c:v>
                </c:pt>
                <c:pt idx="66">
                  <c:v>42393</c:v>
                </c:pt>
                <c:pt idx="67">
                  <c:v>42400</c:v>
                </c:pt>
                <c:pt idx="68">
                  <c:v>42407</c:v>
                </c:pt>
                <c:pt idx="69">
                  <c:v>42414</c:v>
                </c:pt>
                <c:pt idx="70">
                  <c:v>42421</c:v>
                </c:pt>
                <c:pt idx="71">
                  <c:v>42428</c:v>
                </c:pt>
                <c:pt idx="72">
                  <c:v>42435</c:v>
                </c:pt>
                <c:pt idx="73">
                  <c:v>42442</c:v>
                </c:pt>
                <c:pt idx="74">
                  <c:v>42449</c:v>
                </c:pt>
                <c:pt idx="75">
                  <c:v>42456</c:v>
                </c:pt>
                <c:pt idx="76">
                  <c:v>42463</c:v>
                </c:pt>
                <c:pt idx="77">
                  <c:v>42470</c:v>
                </c:pt>
                <c:pt idx="78">
                  <c:v>42477</c:v>
                </c:pt>
                <c:pt idx="79">
                  <c:v>42484</c:v>
                </c:pt>
                <c:pt idx="80">
                  <c:v>42491</c:v>
                </c:pt>
                <c:pt idx="81">
                  <c:v>42498</c:v>
                </c:pt>
                <c:pt idx="82">
                  <c:v>42505</c:v>
                </c:pt>
                <c:pt idx="83">
                  <c:v>42512</c:v>
                </c:pt>
                <c:pt idx="84">
                  <c:v>42519</c:v>
                </c:pt>
                <c:pt idx="85">
                  <c:v>42526</c:v>
                </c:pt>
                <c:pt idx="86">
                  <c:v>42533</c:v>
                </c:pt>
                <c:pt idx="87">
                  <c:v>42540</c:v>
                </c:pt>
                <c:pt idx="88">
                  <c:v>42547</c:v>
                </c:pt>
                <c:pt idx="89">
                  <c:v>42554</c:v>
                </c:pt>
                <c:pt idx="90">
                  <c:v>42561</c:v>
                </c:pt>
                <c:pt idx="91">
                  <c:v>42568</c:v>
                </c:pt>
                <c:pt idx="92">
                  <c:v>42575</c:v>
                </c:pt>
                <c:pt idx="93">
                  <c:v>42582</c:v>
                </c:pt>
                <c:pt idx="94">
                  <c:v>42589</c:v>
                </c:pt>
                <c:pt idx="95">
                  <c:v>42596</c:v>
                </c:pt>
                <c:pt idx="96">
                  <c:v>42603</c:v>
                </c:pt>
                <c:pt idx="97">
                  <c:v>42610</c:v>
                </c:pt>
                <c:pt idx="98">
                  <c:v>42617</c:v>
                </c:pt>
                <c:pt idx="99">
                  <c:v>42624</c:v>
                </c:pt>
                <c:pt idx="100">
                  <c:v>42631</c:v>
                </c:pt>
                <c:pt idx="101">
                  <c:v>42638</c:v>
                </c:pt>
                <c:pt idx="102">
                  <c:v>42645</c:v>
                </c:pt>
                <c:pt idx="103">
                  <c:v>42652</c:v>
                </c:pt>
                <c:pt idx="104">
                  <c:v>42659</c:v>
                </c:pt>
                <c:pt idx="105">
                  <c:v>42666</c:v>
                </c:pt>
                <c:pt idx="106">
                  <c:v>42673</c:v>
                </c:pt>
                <c:pt idx="107">
                  <c:v>42680</c:v>
                </c:pt>
                <c:pt idx="108">
                  <c:v>42687</c:v>
                </c:pt>
                <c:pt idx="109">
                  <c:v>42694</c:v>
                </c:pt>
                <c:pt idx="110">
                  <c:v>42701</c:v>
                </c:pt>
                <c:pt idx="111">
                  <c:v>42708</c:v>
                </c:pt>
                <c:pt idx="112">
                  <c:v>42715</c:v>
                </c:pt>
                <c:pt idx="113">
                  <c:v>42722</c:v>
                </c:pt>
                <c:pt idx="114">
                  <c:v>42729</c:v>
                </c:pt>
                <c:pt idx="115">
                  <c:v>42736</c:v>
                </c:pt>
                <c:pt idx="116">
                  <c:v>42743</c:v>
                </c:pt>
                <c:pt idx="117">
                  <c:v>42750</c:v>
                </c:pt>
                <c:pt idx="118">
                  <c:v>42757</c:v>
                </c:pt>
                <c:pt idx="119">
                  <c:v>42764</c:v>
                </c:pt>
                <c:pt idx="120">
                  <c:v>42771</c:v>
                </c:pt>
                <c:pt idx="121">
                  <c:v>42778</c:v>
                </c:pt>
                <c:pt idx="122">
                  <c:v>42785</c:v>
                </c:pt>
                <c:pt idx="123">
                  <c:v>42792</c:v>
                </c:pt>
                <c:pt idx="124">
                  <c:v>42799</c:v>
                </c:pt>
                <c:pt idx="125">
                  <c:v>42806</c:v>
                </c:pt>
                <c:pt idx="126">
                  <c:v>42813</c:v>
                </c:pt>
                <c:pt idx="127">
                  <c:v>42820</c:v>
                </c:pt>
                <c:pt idx="128">
                  <c:v>42827</c:v>
                </c:pt>
                <c:pt idx="129">
                  <c:v>42834</c:v>
                </c:pt>
                <c:pt idx="130">
                  <c:v>42841</c:v>
                </c:pt>
                <c:pt idx="131">
                  <c:v>42848</c:v>
                </c:pt>
                <c:pt idx="132">
                  <c:v>42855</c:v>
                </c:pt>
                <c:pt idx="133">
                  <c:v>42862</c:v>
                </c:pt>
                <c:pt idx="134">
                  <c:v>42869</c:v>
                </c:pt>
                <c:pt idx="135">
                  <c:v>42876</c:v>
                </c:pt>
                <c:pt idx="136">
                  <c:v>42883</c:v>
                </c:pt>
                <c:pt idx="137">
                  <c:v>42890</c:v>
                </c:pt>
                <c:pt idx="138">
                  <c:v>42897</c:v>
                </c:pt>
                <c:pt idx="139">
                  <c:v>42904</c:v>
                </c:pt>
                <c:pt idx="140">
                  <c:v>42911</c:v>
                </c:pt>
                <c:pt idx="141">
                  <c:v>42918</c:v>
                </c:pt>
                <c:pt idx="142">
                  <c:v>42925</c:v>
                </c:pt>
                <c:pt idx="143">
                  <c:v>42932</c:v>
                </c:pt>
                <c:pt idx="144">
                  <c:v>42939</c:v>
                </c:pt>
                <c:pt idx="145">
                  <c:v>42946</c:v>
                </c:pt>
                <c:pt idx="146">
                  <c:v>42953</c:v>
                </c:pt>
                <c:pt idx="147">
                  <c:v>42960</c:v>
                </c:pt>
                <c:pt idx="148">
                  <c:v>42967</c:v>
                </c:pt>
                <c:pt idx="149">
                  <c:v>42974</c:v>
                </c:pt>
                <c:pt idx="150">
                  <c:v>42981</c:v>
                </c:pt>
                <c:pt idx="151">
                  <c:v>42988</c:v>
                </c:pt>
                <c:pt idx="152">
                  <c:v>42995</c:v>
                </c:pt>
                <c:pt idx="153">
                  <c:v>43002</c:v>
                </c:pt>
                <c:pt idx="154">
                  <c:v>43009</c:v>
                </c:pt>
                <c:pt idx="155">
                  <c:v>43016</c:v>
                </c:pt>
                <c:pt idx="156">
                  <c:v>43023</c:v>
                </c:pt>
                <c:pt idx="157">
                  <c:v>43030</c:v>
                </c:pt>
              </c:numCache>
            </c:numRef>
          </c:xVal>
          <c:yVal>
            <c:numRef>
              <c:f>Sheet1!$B$6:$ZZ$6</c:f>
              <c:numCache>
                <c:formatCode>#,##0</c:formatCode>
                <c:ptCount val="701"/>
                <c:pt idx="0">
                  <c:v>16265</c:v>
                </c:pt>
                <c:pt idx="1">
                  <c:v>12110</c:v>
                </c:pt>
                <c:pt idx="2">
                  <c:v>10671</c:v>
                </c:pt>
                <c:pt idx="3">
                  <c:v>8654</c:v>
                </c:pt>
                <c:pt idx="4">
                  <c:v>14195</c:v>
                </c:pt>
                <c:pt idx="5">
                  <c:v>18966</c:v>
                </c:pt>
                <c:pt idx="6">
                  <c:v>28597</c:v>
                </c:pt>
                <c:pt idx="7">
                  <c:v>18427</c:v>
                </c:pt>
                <c:pt idx="8">
                  <c:v>16757</c:v>
                </c:pt>
                <c:pt idx="9">
                  <c:v>15739</c:v>
                </c:pt>
                <c:pt idx="10">
                  <c:v>12452</c:v>
                </c:pt>
                <c:pt idx="11">
                  <c:v>9514</c:v>
                </c:pt>
                <c:pt idx="12">
                  <c:v>22326</c:v>
                </c:pt>
                <c:pt idx="13">
                  <c:v>17426</c:v>
                </c:pt>
                <c:pt idx="14">
                  <c:v>29419</c:v>
                </c:pt>
                <c:pt idx="15">
                  <c:v>19061</c:v>
                </c:pt>
                <c:pt idx="16">
                  <c:v>17794</c:v>
                </c:pt>
                <c:pt idx="17">
                  <c:v>21270</c:v>
                </c:pt>
                <c:pt idx="18">
                  <c:v>14025</c:v>
                </c:pt>
                <c:pt idx="19">
                  <c:v>12727</c:v>
                </c:pt>
                <c:pt idx="20">
                  <c:v>16097</c:v>
                </c:pt>
                <c:pt idx="21">
                  <c:v>13900</c:v>
                </c:pt>
                <c:pt idx="22">
                  <c:v>9647</c:v>
                </c:pt>
                <c:pt idx="23">
                  <c:v>12439</c:v>
                </c:pt>
                <c:pt idx="24">
                  <c:v>7443.6</c:v>
                </c:pt>
                <c:pt idx="25">
                  <c:v>4753</c:v>
                </c:pt>
                <c:pt idx="26">
                  <c:v>4955</c:v>
                </c:pt>
                <c:pt idx="27">
                  <c:v>12652</c:v>
                </c:pt>
                <c:pt idx="28">
                  <c:v>11856</c:v>
                </c:pt>
                <c:pt idx="29">
                  <c:v>9950</c:v>
                </c:pt>
                <c:pt idx="30">
                  <c:v>8621</c:v>
                </c:pt>
                <c:pt idx="31">
                  <c:v>12742</c:v>
                </c:pt>
                <c:pt idx="32">
                  <c:v>10637</c:v>
                </c:pt>
                <c:pt idx="33">
                  <c:v>54712</c:v>
                </c:pt>
                <c:pt idx="34">
                  <c:v>17662</c:v>
                </c:pt>
                <c:pt idx="35">
                  <c:v>13806</c:v>
                </c:pt>
                <c:pt idx="36">
                  <c:v>16759</c:v>
                </c:pt>
                <c:pt idx="37">
                  <c:v>8259</c:v>
                </c:pt>
                <c:pt idx="38">
                  <c:v>6083</c:v>
                </c:pt>
                <c:pt idx="39">
                  <c:v>5202</c:v>
                </c:pt>
                <c:pt idx="40">
                  <c:v>6220</c:v>
                </c:pt>
                <c:pt idx="41">
                  <c:v>6229</c:v>
                </c:pt>
                <c:pt idx="42">
                  <c:v>3778</c:v>
                </c:pt>
                <c:pt idx="43">
                  <c:v>54210</c:v>
                </c:pt>
                <c:pt idx="44">
                  <c:v>90902</c:v>
                </c:pt>
                <c:pt idx="45">
                  <c:v>4485</c:v>
                </c:pt>
                <c:pt idx="46">
                  <c:v>3810</c:v>
                </c:pt>
                <c:pt idx="47">
                  <c:v>4992</c:v>
                </c:pt>
                <c:pt idx="48">
                  <c:v>13828</c:v>
                </c:pt>
                <c:pt idx="49">
                  <c:v>14590</c:v>
                </c:pt>
                <c:pt idx="50">
                  <c:v>18792</c:v>
                </c:pt>
                <c:pt idx="51">
                  <c:v>9814</c:v>
                </c:pt>
                <c:pt idx="52">
                  <c:v>10470</c:v>
                </c:pt>
                <c:pt idx="54">
                  <c:v>6419</c:v>
                </c:pt>
                <c:pt idx="55">
                  <c:v>9829</c:v>
                </c:pt>
                <c:pt idx="56">
                  <c:v>10270</c:v>
                </c:pt>
                <c:pt idx="57">
                  <c:v>24456</c:v>
                </c:pt>
                <c:pt idx="58">
                  <c:v>9901</c:v>
                </c:pt>
                <c:pt idx="59">
                  <c:v>8649</c:v>
                </c:pt>
                <c:pt idx="60">
                  <c:v>11343</c:v>
                </c:pt>
                <c:pt idx="61">
                  <c:v>6156</c:v>
                </c:pt>
                <c:pt idx="62">
                  <c:v>9131</c:v>
                </c:pt>
                <c:pt idx="63">
                  <c:v>3527</c:v>
                </c:pt>
                <c:pt idx="64">
                  <c:v>4577</c:v>
                </c:pt>
                <c:pt idx="65">
                  <c:v>9744</c:v>
                </c:pt>
                <c:pt idx="66">
                  <c:v>9475</c:v>
                </c:pt>
                <c:pt idx="67">
                  <c:v>6889</c:v>
                </c:pt>
                <c:pt idx="68">
                  <c:v>8310</c:v>
                </c:pt>
                <c:pt idx="69">
                  <c:v>3306</c:v>
                </c:pt>
                <c:pt idx="70">
                  <c:v>4794</c:v>
                </c:pt>
                <c:pt idx="71">
                  <c:v>10261</c:v>
                </c:pt>
                <c:pt idx="72">
                  <c:v>5129</c:v>
                </c:pt>
                <c:pt idx="73">
                  <c:v>5534.9</c:v>
                </c:pt>
                <c:pt idx="74">
                  <c:v>6658</c:v>
                </c:pt>
                <c:pt idx="75">
                  <c:v>11975</c:v>
                </c:pt>
                <c:pt idx="76">
                  <c:v>6615</c:v>
                </c:pt>
                <c:pt idx="77">
                  <c:v>6106</c:v>
                </c:pt>
                <c:pt idx="78">
                  <c:v>9806</c:v>
                </c:pt>
                <c:pt idx="79">
                  <c:v>9830</c:v>
                </c:pt>
                <c:pt idx="80">
                  <c:v>8721</c:v>
                </c:pt>
                <c:pt idx="81">
                  <c:v>6611</c:v>
                </c:pt>
                <c:pt idx="82">
                  <c:v>5587</c:v>
                </c:pt>
                <c:pt idx="83">
                  <c:v>7050</c:v>
                </c:pt>
                <c:pt idx="84">
                  <c:v>15217</c:v>
                </c:pt>
                <c:pt idx="85">
                  <c:v>9958</c:v>
                </c:pt>
                <c:pt idx="86">
                  <c:v>5567</c:v>
                </c:pt>
                <c:pt idx="87">
                  <c:v>7947</c:v>
                </c:pt>
                <c:pt idx="88">
                  <c:v>8218</c:v>
                </c:pt>
                <c:pt idx="89">
                  <c:v>6867</c:v>
                </c:pt>
                <c:pt idx="90">
                  <c:v>7949</c:v>
                </c:pt>
                <c:pt idx="91">
                  <c:v>13836</c:v>
                </c:pt>
                <c:pt idx="92">
                  <c:v>3408</c:v>
                </c:pt>
                <c:pt idx="93">
                  <c:v>22721</c:v>
                </c:pt>
                <c:pt idx="94">
                  <c:v>3629</c:v>
                </c:pt>
                <c:pt idx="95">
                  <c:v>5354</c:v>
                </c:pt>
                <c:pt idx="96">
                  <c:v>5118</c:v>
                </c:pt>
                <c:pt idx="97">
                  <c:v>5950</c:v>
                </c:pt>
                <c:pt idx="98">
                  <c:v>6155</c:v>
                </c:pt>
                <c:pt idx="99">
                  <c:v>20898</c:v>
                </c:pt>
                <c:pt idx="100">
                  <c:v>10823</c:v>
                </c:pt>
                <c:pt idx="101">
                  <c:v>10472</c:v>
                </c:pt>
                <c:pt idx="102">
                  <c:v>8863</c:v>
                </c:pt>
                <c:pt idx="103">
                  <c:v>11091</c:v>
                </c:pt>
                <c:pt idx="104">
                  <c:v>5065</c:v>
                </c:pt>
                <c:pt idx="105">
                  <c:v>5998</c:v>
                </c:pt>
                <c:pt idx="106" formatCode="General">
                  <c:v>4860</c:v>
                </c:pt>
                <c:pt idx="107">
                  <c:v>4385</c:v>
                </c:pt>
                <c:pt idx="108">
                  <c:v>4493</c:v>
                </c:pt>
                <c:pt idx="109">
                  <c:v>5126</c:v>
                </c:pt>
                <c:pt idx="110">
                  <c:v>8724</c:v>
                </c:pt>
                <c:pt idx="111">
                  <c:v>7072</c:v>
                </c:pt>
                <c:pt idx="112">
                  <c:v>5143</c:v>
                </c:pt>
                <c:pt idx="113">
                  <c:v>8925</c:v>
                </c:pt>
                <c:pt idx="114">
                  <c:v>5125</c:v>
                </c:pt>
                <c:pt idx="115">
                  <c:v>5009</c:v>
                </c:pt>
                <c:pt idx="116">
                  <c:v>8273</c:v>
                </c:pt>
                <c:pt idx="117">
                  <c:v>4647</c:v>
                </c:pt>
                <c:pt idx="118">
                  <c:v>5039</c:v>
                </c:pt>
                <c:pt idx="119">
                  <c:v>15732</c:v>
                </c:pt>
                <c:pt idx="120" formatCode="General">
                  <c:v>5362</c:v>
                </c:pt>
                <c:pt idx="121">
                  <c:v>4618</c:v>
                </c:pt>
                <c:pt idx="122">
                  <c:v>4587</c:v>
                </c:pt>
                <c:pt idx="123">
                  <c:v>7056</c:v>
                </c:pt>
                <c:pt idx="124">
                  <c:v>7084</c:v>
                </c:pt>
                <c:pt idx="133" formatCode="General">
                  <c:v>493</c:v>
                </c:pt>
                <c:pt idx="134" formatCode="General">
                  <c:v>3523</c:v>
                </c:pt>
                <c:pt idx="135" formatCode="General">
                  <c:v>281</c:v>
                </c:pt>
                <c:pt idx="137" formatCode="General">
                  <c:v>120</c:v>
                </c:pt>
                <c:pt idx="138" formatCode="General">
                  <c:v>102483</c:v>
                </c:pt>
                <c:pt idx="139" formatCode="General">
                  <c:v>952</c:v>
                </c:pt>
                <c:pt idx="140" formatCode="General">
                  <c:v>7784</c:v>
                </c:pt>
                <c:pt idx="141" formatCode="General">
                  <c:v>1006</c:v>
                </c:pt>
                <c:pt idx="142" formatCode="General">
                  <c:v>5261</c:v>
                </c:pt>
                <c:pt idx="143" formatCode="General">
                  <c:v>765</c:v>
                </c:pt>
                <c:pt idx="144" formatCode="General">
                  <c:v>417</c:v>
                </c:pt>
                <c:pt idx="145" formatCode="General">
                  <c:v>578</c:v>
                </c:pt>
                <c:pt idx="146" formatCode="General">
                  <c:v>11596</c:v>
                </c:pt>
                <c:pt idx="147" formatCode="General">
                  <c:v>375</c:v>
                </c:pt>
                <c:pt idx="148" formatCode="General">
                  <c:v>1417</c:v>
                </c:pt>
                <c:pt idx="149" formatCode="General">
                  <c:v>1356</c:v>
                </c:pt>
                <c:pt idx="150" formatCode="General">
                  <c:v>753</c:v>
                </c:pt>
                <c:pt idx="151" formatCode="General">
                  <c:v>272</c:v>
                </c:pt>
                <c:pt idx="152" formatCode="General">
                  <c:v>370</c:v>
                </c:pt>
                <c:pt idx="153" formatCode="General">
                  <c:v>3595</c:v>
                </c:pt>
                <c:pt idx="154" formatCode="General">
                  <c:v>6969</c:v>
                </c:pt>
                <c:pt idx="155" formatCode="General">
                  <c:v>6087</c:v>
                </c:pt>
                <c:pt idx="156" formatCode="General">
                  <c:v>2986</c:v>
                </c:pt>
              </c:numCache>
            </c:numRef>
          </c:yVal>
          <c:smooth val="0"/>
        </c:ser>
        <c:ser>
          <c:idx val="1"/>
          <c:order val="1"/>
          <c:tx>
            <c:v>HEASARC TAP/S</c:v>
          </c:tx>
          <c:spPr>
            <a:ln w="28575">
              <a:noFill/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Sheet1!$B$3:$ZZ$3</c:f>
              <c:numCache>
                <c:formatCode>m/d/yyyy</c:formatCode>
                <c:ptCount val="701"/>
                <c:pt idx="0">
                  <c:v>41931</c:v>
                </c:pt>
                <c:pt idx="1">
                  <c:v>41938</c:v>
                </c:pt>
                <c:pt idx="2">
                  <c:v>41945</c:v>
                </c:pt>
                <c:pt idx="3">
                  <c:v>41952</c:v>
                </c:pt>
                <c:pt idx="4">
                  <c:v>41959</c:v>
                </c:pt>
                <c:pt idx="5">
                  <c:v>41966</c:v>
                </c:pt>
                <c:pt idx="6">
                  <c:v>41973</c:v>
                </c:pt>
                <c:pt idx="7">
                  <c:v>41980</c:v>
                </c:pt>
                <c:pt idx="8">
                  <c:v>41987</c:v>
                </c:pt>
                <c:pt idx="9">
                  <c:v>41994</c:v>
                </c:pt>
                <c:pt idx="10">
                  <c:v>42001</c:v>
                </c:pt>
                <c:pt idx="11">
                  <c:v>42008</c:v>
                </c:pt>
                <c:pt idx="12">
                  <c:v>42015</c:v>
                </c:pt>
                <c:pt idx="13">
                  <c:v>42022</c:v>
                </c:pt>
                <c:pt idx="14">
                  <c:v>42029</c:v>
                </c:pt>
                <c:pt idx="15">
                  <c:v>42036</c:v>
                </c:pt>
                <c:pt idx="16">
                  <c:v>42043</c:v>
                </c:pt>
                <c:pt idx="17">
                  <c:v>42050</c:v>
                </c:pt>
                <c:pt idx="18">
                  <c:v>42057</c:v>
                </c:pt>
                <c:pt idx="19">
                  <c:v>42064</c:v>
                </c:pt>
                <c:pt idx="20">
                  <c:v>42071</c:v>
                </c:pt>
                <c:pt idx="21">
                  <c:v>42078</c:v>
                </c:pt>
                <c:pt idx="22">
                  <c:v>42085</c:v>
                </c:pt>
                <c:pt idx="23">
                  <c:v>42092</c:v>
                </c:pt>
                <c:pt idx="24">
                  <c:v>42099</c:v>
                </c:pt>
                <c:pt idx="25">
                  <c:v>42106</c:v>
                </c:pt>
                <c:pt idx="26">
                  <c:v>42113</c:v>
                </c:pt>
                <c:pt idx="27">
                  <c:v>42120</c:v>
                </c:pt>
                <c:pt idx="28">
                  <c:v>42127</c:v>
                </c:pt>
                <c:pt idx="29">
                  <c:v>42134</c:v>
                </c:pt>
                <c:pt idx="30">
                  <c:v>42141</c:v>
                </c:pt>
                <c:pt idx="31">
                  <c:v>42148</c:v>
                </c:pt>
                <c:pt idx="32">
                  <c:v>42155</c:v>
                </c:pt>
                <c:pt idx="33">
                  <c:v>42162</c:v>
                </c:pt>
                <c:pt idx="34">
                  <c:v>42169</c:v>
                </c:pt>
                <c:pt idx="35">
                  <c:v>42176</c:v>
                </c:pt>
                <c:pt idx="36">
                  <c:v>42183</c:v>
                </c:pt>
                <c:pt idx="37">
                  <c:v>42190</c:v>
                </c:pt>
                <c:pt idx="38">
                  <c:v>42197</c:v>
                </c:pt>
                <c:pt idx="39">
                  <c:v>42204</c:v>
                </c:pt>
                <c:pt idx="40">
                  <c:v>42211</c:v>
                </c:pt>
                <c:pt idx="41">
                  <c:v>42218</c:v>
                </c:pt>
                <c:pt idx="42">
                  <c:v>42225</c:v>
                </c:pt>
                <c:pt idx="43">
                  <c:v>42232</c:v>
                </c:pt>
                <c:pt idx="44">
                  <c:v>42239</c:v>
                </c:pt>
                <c:pt idx="45">
                  <c:v>42246</c:v>
                </c:pt>
                <c:pt idx="46">
                  <c:v>42253</c:v>
                </c:pt>
                <c:pt idx="47">
                  <c:v>42260</c:v>
                </c:pt>
                <c:pt idx="48">
                  <c:v>42267</c:v>
                </c:pt>
                <c:pt idx="49">
                  <c:v>42274</c:v>
                </c:pt>
                <c:pt idx="50">
                  <c:v>42281</c:v>
                </c:pt>
                <c:pt idx="51">
                  <c:v>42288</c:v>
                </c:pt>
                <c:pt idx="52">
                  <c:v>42295</c:v>
                </c:pt>
                <c:pt idx="53">
                  <c:v>42302</c:v>
                </c:pt>
                <c:pt idx="54">
                  <c:v>42309</c:v>
                </c:pt>
                <c:pt idx="55">
                  <c:v>42316</c:v>
                </c:pt>
                <c:pt idx="56">
                  <c:v>42323</c:v>
                </c:pt>
                <c:pt idx="57">
                  <c:v>42330</c:v>
                </c:pt>
                <c:pt idx="58">
                  <c:v>42337</c:v>
                </c:pt>
                <c:pt idx="59">
                  <c:v>42344</c:v>
                </c:pt>
                <c:pt idx="60">
                  <c:v>42351</c:v>
                </c:pt>
                <c:pt idx="61">
                  <c:v>42358</c:v>
                </c:pt>
                <c:pt idx="62">
                  <c:v>42365</c:v>
                </c:pt>
                <c:pt idx="63">
                  <c:v>42372</c:v>
                </c:pt>
                <c:pt idx="64">
                  <c:v>42379</c:v>
                </c:pt>
                <c:pt idx="65">
                  <c:v>42386</c:v>
                </c:pt>
                <c:pt idx="66">
                  <c:v>42393</c:v>
                </c:pt>
                <c:pt idx="67">
                  <c:v>42400</c:v>
                </c:pt>
                <c:pt idx="68">
                  <c:v>42407</c:v>
                </c:pt>
                <c:pt idx="69">
                  <c:v>42414</c:v>
                </c:pt>
                <c:pt idx="70">
                  <c:v>42421</c:v>
                </c:pt>
                <c:pt idx="71">
                  <c:v>42428</c:v>
                </c:pt>
                <c:pt idx="72">
                  <c:v>42435</c:v>
                </c:pt>
                <c:pt idx="73">
                  <c:v>42442</c:v>
                </c:pt>
                <c:pt idx="74">
                  <c:v>42449</c:v>
                </c:pt>
                <c:pt idx="75">
                  <c:v>42456</c:v>
                </c:pt>
                <c:pt idx="76">
                  <c:v>42463</c:v>
                </c:pt>
                <c:pt idx="77">
                  <c:v>42470</c:v>
                </c:pt>
                <c:pt idx="78">
                  <c:v>42477</c:v>
                </c:pt>
                <c:pt idx="79">
                  <c:v>42484</c:v>
                </c:pt>
                <c:pt idx="80">
                  <c:v>42491</c:v>
                </c:pt>
                <c:pt idx="81">
                  <c:v>42498</c:v>
                </c:pt>
                <c:pt idx="82">
                  <c:v>42505</c:v>
                </c:pt>
                <c:pt idx="83">
                  <c:v>42512</c:v>
                </c:pt>
                <c:pt idx="84">
                  <c:v>42519</c:v>
                </c:pt>
                <c:pt idx="85">
                  <c:v>42526</c:v>
                </c:pt>
                <c:pt idx="86">
                  <c:v>42533</c:v>
                </c:pt>
                <c:pt idx="87">
                  <c:v>42540</c:v>
                </c:pt>
                <c:pt idx="88">
                  <c:v>42547</c:v>
                </c:pt>
                <c:pt idx="89">
                  <c:v>42554</c:v>
                </c:pt>
                <c:pt idx="90">
                  <c:v>42561</c:v>
                </c:pt>
                <c:pt idx="91">
                  <c:v>42568</c:v>
                </c:pt>
                <c:pt idx="92">
                  <c:v>42575</c:v>
                </c:pt>
                <c:pt idx="93">
                  <c:v>42582</c:v>
                </c:pt>
                <c:pt idx="94">
                  <c:v>42589</c:v>
                </c:pt>
                <c:pt idx="95">
                  <c:v>42596</c:v>
                </c:pt>
                <c:pt idx="96">
                  <c:v>42603</c:v>
                </c:pt>
                <c:pt idx="97">
                  <c:v>42610</c:v>
                </c:pt>
                <c:pt idx="98">
                  <c:v>42617</c:v>
                </c:pt>
                <c:pt idx="99">
                  <c:v>42624</c:v>
                </c:pt>
                <c:pt idx="100">
                  <c:v>42631</c:v>
                </c:pt>
                <c:pt idx="101">
                  <c:v>42638</c:v>
                </c:pt>
                <c:pt idx="102">
                  <c:v>42645</c:v>
                </c:pt>
                <c:pt idx="103">
                  <c:v>42652</c:v>
                </c:pt>
                <c:pt idx="104">
                  <c:v>42659</c:v>
                </c:pt>
                <c:pt idx="105">
                  <c:v>42666</c:v>
                </c:pt>
                <c:pt idx="106">
                  <c:v>42673</c:v>
                </c:pt>
                <c:pt idx="107">
                  <c:v>42680</c:v>
                </c:pt>
                <c:pt idx="108">
                  <c:v>42687</c:v>
                </c:pt>
                <c:pt idx="109">
                  <c:v>42694</c:v>
                </c:pt>
                <c:pt idx="110">
                  <c:v>42701</c:v>
                </c:pt>
                <c:pt idx="111">
                  <c:v>42708</c:v>
                </c:pt>
                <c:pt idx="112">
                  <c:v>42715</c:v>
                </c:pt>
                <c:pt idx="113">
                  <c:v>42722</c:v>
                </c:pt>
                <c:pt idx="114">
                  <c:v>42729</c:v>
                </c:pt>
                <c:pt idx="115">
                  <c:v>42736</c:v>
                </c:pt>
                <c:pt idx="116">
                  <c:v>42743</c:v>
                </c:pt>
                <c:pt idx="117">
                  <c:v>42750</c:v>
                </c:pt>
                <c:pt idx="118">
                  <c:v>42757</c:v>
                </c:pt>
                <c:pt idx="119">
                  <c:v>42764</c:v>
                </c:pt>
                <c:pt idx="120">
                  <c:v>42771</c:v>
                </c:pt>
                <c:pt idx="121">
                  <c:v>42778</c:v>
                </c:pt>
                <c:pt idx="122">
                  <c:v>42785</c:v>
                </c:pt>
                <c:pt idx="123">
                  <c:v>42792</c:v>
                </c:pt>
                <c:pt idx="124">
                  <c:v>42799</c:v>
                </c:pt>
                <c:pt idx="125">
                  <c:v>42806</c:v>
                </c:pt>
                <c:pt idx="126">
                  <c:v>42813</c:v>
                </c:pt>
                <c:pt idx="127">
                  <c:v>42820</c:v>
                </c:pt>
                <c:pt idx="128">
                  <c:v>42827</c:v>
                </c:pt>
                <c:pt idx="129">
                  <c:v>42834</c:v>
                </c:pt>
                <c:pt idx="130">
                  <c:v>42841</c:v>
                </c:pt>
                <c:pt idx="131">
                  <c:v>42848</c:v>
                </c:pt>
                <c:pt idx="132">
                  <c:v>42855</c:v>
                </c:pt>
                <c:pt idx="133">
                  <c:v>42862</c:v>
                </c:pt>
                <c:pt idx="134">
                  <c:v>42869</c:v>
                </c:pt>
                <c:pt idx="135">
                  <c:v>42876</c:v>
                </c:pt>
                <c:pt idx="136">
                  <c:v>42883</c:v>
                </c:pt>
                <c:pt idx="137">
                  <c:v>42890</c:v>
                </c:pt>
                <c:pt idx="138">
                  <c:v>42897</c:v>
                </c:pt>
                <c:pt idx="139">
                  <c:v>42904</c:v>
                </c:pt>
                <c:pt idx="140">
                  <c:v>42911</c:v>
                </c:pt>
                <c:pt idx="141">
                  <c:v>42918</c:v>
                </c:pt>
                <c:pt idx="142">
                  <c:v>42925</c:v>
                </c:pt>
                <c:pt idx="143">
                  <c:v>42932</c:v>
                </c:pt>
                <c:pt idx="144">
                  <c:v>42939</c:v>
                </c:pt>
                <c:pt idx="145">
                  <c:v>42946</c:v>
                </c:pt>
                <c:pt idx="146">
                  <c:v>42953</c:v>
                </c:pt>
                <c:pt idx="147">
                  <c:v>42960</c:v>
                </c:pt>
                <c:pt idx="148">
                  <c:v>42967</c:v>
                </c:pt>
                <c:pt idx="149">
                  <c:v>42974</c:v>
                </c:pt>
                <c:pt idx="150">
                  <c:v>42981</c:v>
                </c:pt>
                <c:pt idx="151">
                  <c:v>42988</c:v>
                </c:pt>
                <c:pt idx="152">
                  <c:v>42995</c:v>
                </c:pt>
                <c:pt idx="153">
                  <c:v>43002</c:v>
                </c:pt>
                <c:pt idx="154">
                  <c:v>43009</c:v>
                </c:pt>
                <c:pt idx="155">
                  <c:v>43016</c:v>
                </c:pt>
                <c:pt idx="156">
                  <c:v>43023</c:v>
                </c:pt>
                <c:pt idx="157">
                  <c:v>43030</c:v>
                </c:pt>
              </c:numCache>
            </c:numRef>
          </c:xVal>
          <c:yVal>
            <c:numRef>
              <c:f>Sheet1!$B$7:$ZZ$7</c:f>
              <c:numCache>
                <c:formatCode>#,##0</c:formatCode>
                <c:ptCount val="701"/>
                <c:pt idx="0">
                  <c:v>611</c:v>
                </c:pt>
                <c:pt idx="1">
                  <c:v>490</c:v>
                </c:pt>
                <c:pt idx="2">
                  <c:v>369</c:v>
                </c:pt>
                <c:pt idx="3">
                  <c:v>373</c:v>
                </c:pt>
                <c:pt idx="4">
                  <c:v>858</c:v>
                </c:pt>
                <c:pt idx="5">
                  <c:v>1108</c:v>
                </c:pt>
                <c:pt idx="6">
                  <c:v>249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1596</c:v>
                </c:pt>
                <c:pt idx="13">
                  <c:v>864</c:v>
                </c:pt>
                <c:pt idx="14">
                  <c:v>781</c:v>
                </c:pt>
                <c:pt idx="15">
                  <c:v>1315</c:v>
                </c:pt>
                <c:pt idx="16">
                  <c:v>745</c:v>
                </c:pt>
                <c:pt idx="17">
                  <c:v>865</c:v>
                </c:pt>
                <c:pt idx="18">
                  <c:v>865</c:v>
                </c:pt>
                <c:pt idx="19">
                  <c:v>866</c:v>
                </c:pt>
                <c:pt idx="20">
                  <c:v>873</c:v>
                </c:pt>
                <c:pt idx="21">
                  <c:v>748</c:v>
                </c:pt>
                <c:pt idx="22">
                  <c:v>993</c:v>
                </c:pt>
                <c:pt idx="23">
                  <c:v>919</c:v>
                </c:pt>
                <c:pt idx="24">
                  <c:v>1122</c:v>
                </c:pt>
                <c:pt idx="25">
                  <c:v>874</c:v>
                </c:pt>
                <c:pt idx="26">
                  <c:v>1089</c:v>
                </c:pt>
                <c:pt idx="27">
                  <c:v>878</c:v>
                </c:pt>
                <c:pt idx="28">
                  <c:v>749.7</c:v>
                </c:pt>
                <c:pt idx="29">
                  <c:v>1001</c:v>
                </c:pt>
                <c:pt idx="30">
                  <c:v>253</c:v>
                </c:pt>
                <c:pt idx="31">
                  <c:v>879</c:v>
                </c:pt>
                <c:pt idx="32">
                  <c:v>880</c:v>
                </c:pt>
                <c:pt idx="33">
                  <c:v>945</c:v>
                </c:pt>
                <c:pt idx="34">
                  <c:v>893</c:v>
                </c:pt>
                <c:pt idx="35">
                  <c:v>1132</c:v>
                </c:pt>
                <c:pt idx="36">
                  <c:v>887</c:v>
                </c:pt>
                <c:pt idx="37">
                  <c:v>1638</c:v>
                </c:pt>
                <c:pt idx="38">
                  <c:v>891</c:v>
                </c:pt>
                <c:pt idx="39">
                  <c:v>901</c:v>
                </c:pt>
                <c:pt idx="40">
                  <c:v>889</c:v>
                </c:pt>
                <c:pt idx="41">
                  <c:v>890</c:v>
                </c:pt>
                <c:pt idx="42">
                  <c:v>897</c:v>
                </c:pt>
                <c:pt idx="43">
                  <c:v>3432</c:v>
                </c:pt>
                <c:pt idx="44">
                  <c:v>1034</c:v>
                </c:pt>
                <c:pt idx="45">
                  <c:v>908</c:v>
                </c:pt>
                <c:pt idx="46">
                  <c:v>904</c:v>
                </c:pt>
                <c:pt idx="47">
                  <c:v>1052</c:v>
                </c:pt>
                <c:pt idx="48">
                  <c:v>1187</c:v>
                </c:pt>
                <c:pt idx="49">
                  <c:v>904</c:v>
                </c:pt>
                <c:pt idx="50">
                  <c:v>912</c:v>
                </c:pt>
                <c:pt idx="51">
                  <c:v>1165</c:v>
                </c:pt>
                <c:pt idx="52">
                  <c:v>688</c:v>
                </c:pt>
                <c:pt idx="54">
                  <c:v>789</c:v>
                </c:pt>
                <c:pt idx="55">
                  <c:v>1298</c:v>
                </c:pt>
                <c:pt idx="56">
                  <c:v>780</c:v>
                </c:pt>
                <c:pt idx="57">
                  <c:v>1237</c:v>
                </c:pt>
                <c:pt idx="58">
                  <c:v>908</c:v>
                </c:pt>
                <c:pt idx="59">
                  <c:v>651</c:v>
                </c:pt>
                <c:pt idx="60">
                  <c:v>1168</c:v>
                </c:pt>
                <c:pt idx="61">
                  <c:v>928</c:v>
                </c:pt>
                <c:pt idx="62">
                  <c:v>910</c:v>
                </c:pt>
                <c:pt idx="63">
                  <c:v>771</c:v>
                </c:pt>
                <c:pt idx="64">
                  <c:v>1297</c:v>
                </c:pt>
                <c:pt idx="65">
                  <c:v>917</c:v>
                </c:pt>
                <c:pt idx="66">
                  <c:v>915</c:v>
                </c:pt>
                <c:pt idx="67">
                  <c:v>908</c:v>
                </c:pt>
                <c:pt idx="68">
                  <c:v>788</c:v>
                </c:pt>
                <c:pt idx="69">
                  <c:v>367</c:v>
                </c:pt>
                <c:pt idx="70">
                  <c:v>13</c:v>
                </c:pt>
                <c:pt idx="71">
                  <c:v>265</c:v>
                </c:pt>
                <c:pt idx="72">
                  <c:v>270</c:v>
                </c:pt>
                <c:pt idx="73">
                  <c:v>6.3</c:v>
                </c:pt>
                <c:pt idx="74">
                  <c:v>11</c:v>
                </c:pt>
                <c:pt idx="75">
                  <c:v>2.4</c:v>
                </c:pt>
                <c:pt idx="76">
                  <c:v>262</c:v>
                </c:pt>
                <c:pt idx="77">
                  <c:v>7</c:v>
                </c:pt>
                <c:pt idx="78">
                  <c:v>10</c:v>
                </c:pt>
                <c:pt idx="79">
                  <c:v>261</c:v>
                </c:pt>
                <c:pt idx="80">
                  <c:v>10.7</c:v>
                </c:pt>
                <c:pt idx="81">
                  <c:v>2.6</c:v>
                </c:pt>
                <c:pt idx="82">
                  <c:v>6.1</c:v>
                </c:pt>
                <c:pt idx="83">
                  <c:v>293.3</c:v>
                </c:pt>
                <c:pt idx="84">
                  <c:v>7</c:v>
                </c:pt>
                <c:pt idx="85">
                  <c:v>20</c:v>
                </c:pt>
                <c:pt idx="86">
                  <c:v>10</c:v>
                </c:pt>
                <c:pt idx="87">
                  <c:v>264</c:v>
                </c:pt>
                <c:pt idx="88">
                  <c:v>8</c:v>
                </c:pt>
                <c:pt idx="89">
                  <c:v>26</c:v>
                </c:pt>
                <c:pt idx="90">
                  <c:v>283</c:v>
                </c:pt>
                <c:pt idx="91">
                  <c:v>25</c:v>
                </c:pt>
                <c:pt idx="92">
                  <c:v>267</c:v>
                </c:pt>
                <c:pt idx="93">
                  <c:v>7.6</c:v>
                </c:pt>
                <c:pt idx="94">
                  <c:v>4</c:v>
                </c:pt>
                <c:pt idx="95">
                  <c:v>3</c:v>
                </c:pt>
                <c:pt idx="96">
                  <c:v>23</c:v>
                </c:pt>
                <c:pt idx="97">
                  <c:v>37</c:v>
                </c:pt>
                <c:pt idx="98">
                  <c:v>23</c:v>
                </c:pt>
                <c:pt idx="99">
                  <c:v>27</c:v>
                </c:pt>
                <c:pt idx="100">
                  <c:v>39</c:v>
                </c:pt>
                <c:pt idx="101">
                  <c:v>9</c:v>
                </c:pt>
                <c:pt idx="102">
                  <c:v>681</c:v>
                </c:pt>
                <c:pt idx="103">
                  <c:v>919</c:v>
                </c:pt>
                <c:pt idx="104">
                  <c:v>1313</c:v>
                </c:pt>
                <c:pt idx="105">
                  <c:v>790</c:v>
                </c:pt>
                <c:pt idx="106" formatCode="General">
                  <c:v>1579</c:v>
                </c:pt>
                <c:pt idx="107">
                  <c:v>1068</c:v>
                </c:pt>
                <c:pt idx="108">
                  <c:v>923</c:v>
                </c:pt>
                <c:pt idx="109">
                  <c:v>960</c:v>
                </c:pt>
                <c:pt idx="110">
                  <c:v>1319</c:v>
                </c:pt>
                <c:pt idx="111">
                  <c:v>2930.3</c:v>
                </c:pt>
                <c:pt idx="112">
                  <c:v>2898</c:v>
                </c:pt>
                <c:pt idx="113">
                  <c:v>1093</c:v>
                </c:pt>
                <c:pt idx="114">
                  <c:v>883</c:v>
                </c:pt>
                <c:pt idx="115">
                  <c:v>937</c:v>
                </c:pt>
                <c:pt idx="116">
                  <c:v>923</c:v>
                </c:pt>
                <c:pt idx="117">
                  <c:v>1329</c:v>
                </c:pt>
                <c:pt idx="118">
                  <c:v>959</c:v>
                </c:pt>
                <c:pt idx="119">
                  <c:v>1072</c:v>
                </c:pt>
                <c:pt idx="120" formatCode="General">
                  <c:v>1114.4000000000001</c:v>
                </c:pt>
                <c:pt idx="121">
                  <c:v>931</c:v>
                </c:pt>
                <c:pt idx="122">
                  <c:v>1214</c:v>
                </c:pt>
                <c:pt idx="123">
                  <c:v>947</c:v>
                </c:pt>
                <c:pt idx="124">
                  <c:v>968</c:v>
                </c:pt>
                <c:pt idx="133" formatCode="General">
                  <c:v>7</c:v>
                </c:pt>
                <c:pt idx="134" formatCode="General">
                  <c:v>19</c:v>
                </c:pt>
                <c:pt idx="135" formatCode="General">
                  <c:v>3.3</c:v>
                </c:pt>
                <c:pt idx="137" formatCode="General">
                  <c:v>1</c:v>
                </c:pt>
                <c:pt idx="138" formatCode="General">
                  <c:v>1.1000000000000001</c:v>
                </c:pt>
                <c:pt idx="139" formatCode="General">
                  <c:v>137</c:v>
                </c:pt>
                <c:pt idx="140" formatCode="General">
                  <c:v>8</c:v>
                </c:pt>
                <c:pt idx="141" formatCode="General">
                  <c:v>19</c:v>
                </c:pt>
                <c:pt idx="142" formatCode="General">
                  <c:v>14</c:v>
                </c:pt>
                <c:pt idx="143" formatCode="General">
                  <c:v>68</c:v>
                </c:pt>
                <c:pt idx="144" formatCode="General">
                  <c:v>4</c:v>
                </c:pt>
                <c:pt idx="145" formatCode="General">
                  <c:v>29</c:v>
                </c:pt>
                <c:pt idx="146" formatCode="General">
                  <c:v>18</c:v>
                </c:pt>
                <c:pt idx="147" formatCode="General">
                  <c:v>103</c:v>
                </c:pt>
                <c:pt idx="148" formatCode="General">
                  <c:v>20</c:v>
                </c:pt>
                <c:pt idx="149" formatCode="General">
                  <c:v>32</c:v>
                </c:pt>
                <c:pt idx="150" formatCode="General">
                  <c:v>27</c:v>
                </c:pt>
                <c:pt idx="151" formatCode="General">
                  <c:v>28</c:v>
                </c:pt>
                <c:pt idx="152" formatCode="General">
                  <c:v>11</c:v>
                </c:pt>
                <c:pt idx="153" formatCode="General">
                  <c:v>975</c:v>
                </c:pt>
                <c:pt idx="154" formatCode="General">
                  <c:v>10</c:v>
                </c:pt>
                <c:pt idx="155" formatCode="General">
                  <c:v>142</c:v>
                </c:pt>
                <c:pt idx="156" formatCode="General">
                  <c:v>145</c:v>
                </c:pt>
              </c:numCache>
            </c:numRef>
          </c:yVal>
          <c:smooth val="0"/>
        </c:ser>
        <c:ser>
          <c:idx val="2"/>
          <c:order val="2"/>
          <c:tx>
            <c:v>HEASARC TAP/AS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</c:spPr>
          </c:marker>
          <c:xVal>
            <c:numRef>
              <c:f>Sheet1!$B$3:$ZZ$3</c:f>
              <c:numCache>
                <c:formatCode>m/d/yyyy</c:formatCode>
                <c:ptCount val="701"/>
                <c:pt idx="0">
                  <c:v>41931</c:v>
                </c:pt>
                <c:pt idx="1">
                  <c:v>41938</c:v>
                </c:pt>
                <c:pt idx="2">
                  <c:v>41945</c:v>
                </c:pt>
                <c:pt idx="3">
                  <c:v>41952</c:v>
                </c:pt>
                <c:pt idx="4">
                  <c:v>41959</c:v>
                </c:pt>
                <c:pt idx="5">
                  <c:v>41966</c:v>
                </c:pt>
                <c:pt idx="6">
                  <c:v>41973</c:v>
                </c:pt>
                <c:pt idx="7">
                  <c:v>41980</c:v>
                </c:pt>
                <c:pt idx="8">
                  <c:v>41987</c:v>
                </c:pt>
                <c:pt idx="9">
                  <c:v>41994</c:v>
                </c:pt>
                <c:pt idx="10">
                  <c:v>42001</c:v>
                </c:pt>
                <c:pt idx="11">
                  <c:v>42008</c:v>
                </c:pt>
                <c:pt idx="12">
                  <c:v>42015</c:v>
                </c:pt>
                <c:pt idx="13">
                  <c:v>42022</c:v>
                </c:pt>
                <c:pt idx="14">
                  <c:v>42029</c:v>
                </c:pt>
                <c:pt idx="15">
                  <c:v>42036</c:v>
                </c:pt>
                <c:pt idx="16">
                  <c:v>42043</c:v>
                </c:pt>
                <c:pt idx="17">
                  <c:v>42050</c:v>
                </c:pt>
                <c:pt idx="18">
                  <c:v>42057</c:v>
                </c:pt>
                <c:pt idx="19">
                  <c:v>42064</c:v>
                </c:pt>
                <c:pt idx="20">
                  <c:v>42071</c:v>
                </c:pt>
                <c:pt idx="21">
                  <c:v>42078</c:v>
                </c:pt>
                <c:pt idx="22">
                  <c:v>42085</c:v>
                </c:pt>
                <c:pt idx="23">
                  <c:v>42092</c:v>
                </c:pt>
                <c:pt idx="24">
                  <c:v>42099</c:v>
                </c:pt>
                <c:pt idx="25">
                  <c:v>42106</c:v>
                </c:pt>
                <c:pt idx="26">
                  <c:v>42113</c:v>
                </c:pt>
                <c:pt idx="27">
                  <c:v>42120</c:v>
                </c:pt>
                <c:pt idx="28">
                  <c:v>42127</c:v>
                </c:pt>
                <c:pt idx="29">
                  <c:v>42134</c:v>
                </c:pt>
                <c:pt idx="30">
                  <c:v>42141</c:v>
                </c:pt>
                <c:pt idx="31">
                  <c:v>42148</c:v>
                </c:pt>
                <c:pt idx="32">
                  <c:v>42155</c:v>
                </c:pt>
                <c:pt idx="33">
                  <c:v>42162</c:v>
                </c:pt>
                <c:pt idx="34">
                  <c:v>42169</c:v>
                </c:pt>
                <c:pt idx="35">
                  <c:v>42176</c:v>
                </c:pt>
                <c:pt idx="36">
                  <c:v>42183</c:v>
                </c:pt>
                <c:pt idx="37">
                  <c:v>42190</c:v>
                </c:pt>
                <c:pt idx="38">
                  <c:v>42197</c:v>
                </c:pt>
                <c:pt idx="39">
                  <c:v>42204</c:v>
                </c:pt>
                <c:pt idx="40">
                  <c:v>42211</c:v>
                </c:pt>
                <c:pt idx="41">
                  <c:v>42218</c:v>
                </c:pt>
                <c:pt idx="42">
                  <c:v>42225</c:v>
                </c:pt>
                <c:pt idx="43">
                  <c:v>42232</c:v>
                </c:pt>
                <c:pt idx="44">
                  <c:v>42239</c:v>
                </c:pt>
                <c:pt idx="45">
                  <c:v>42246</c:v>
                </c:pt>
                <c:pt idx="46">
                  <c:v>42253</c:v>
                </c:pt>
                <c:pt idx="47">
                  <c:v>42260</c:v>
                </c:pt>
                <c:pt idx="48">
                  <c:v>42267</c:v>
                </c:pt>
                <c:pt idx="49">
                  <c:v>42274</c:v>
                </c:pt>
                <c:pt idx="50">
                  <c:v>42281</c:v>
                </c:pt>
                <c:pt idx="51">
                  <c:v>42288</c:v>
                </c:pt>
                <c:pt idx="52">
                  <c:v>42295</c:v>
                </c:pt>
                <c:pt idx="53">
                  <c:v>42302</c:v>
                </c:pt>
                <c:pt idx="54">
                  <c:v>42309</c:v>
                </c:pt>
                <c:pt idx="55">
                  <c:v>42316</c:v>
                </c:pt>
                <c:pt idx="56">
                  <c:v>42323</c:v>
                </c:pt>
                <c:pt idx="57">
                  <c:v>42330</c:v>
                </c:pt>
                <c:pt idx="58">
                  <c:v>42337</c:v>
                </c:pt>
                <c:pt idx="59">
                  <c:v>42344</c:v>
                </c:pt>
                <c:pt idx="60">
                  <c:v>42351</c:v>
                </c:pt>
                <c:pt idx="61">
                  <c:v>42358</c:v>
                </c:pt>
                <c:pt idx="62">
                  <c:v>42365</c:v>
                </c:pt>
                <c:pt idx="63">
                  <c:v>42372</c:v>
                </c:pt>
                <c:pt idx="64">
                  <c:v>42379</c:v>
                </c:pt>
                <c:pt idx="65">
                  <c:v>42386</c:v>
                </c:pt>
                <c:pt idx="66">
                  <c:v>42393</c:v>
                </c:pt>
                <c:pt idx="67">
                  <c:v>42400</c:v>
                </c:pt>
                <c:pt idx="68">
                  <c:v>42407</c:v>
                </c:pt>
                <c:pt idx="69">
                  <c:v>42414</c:v>
                </c:pt>
                <c:pt idx="70">
                  <c:v>42421</c:v>
                </c:pt>
                <c:pt idx="71">
                  <c:v>42428</c:v>
                </c:pt>
                <c:pt idx="72">
                  <c:v>42435</c:v>
                </c:pt>
                <c:pt idx="73">
                  <c:v>42442</c:v>
                </c:pt>
                <c:pt idx="74">
                  <c:v>42449</c:v>
                </c:pt>
                <c:pt idx="75">
                  <c:v>42456</c:v>
                </c:pt>
                <c:pt idx="76">
                  <c:v>42463</c:v>
                </c:pt>
                <c:pt idx="77">
                  <c:v>42470</c:v>
                </c:pt>
                <c:pt idx="78">
                  <c:v>42477</c:v>
                </c:pt>
                <c:pt idx="79">
                  <c:v>42484</c:v>
                </c:pt>
                <c:pt idx="80">
                  <c:v>42491</c:v>
                </c:pt>
                <c:pt idx="81">
                  <c:v>42498</c:v>
                </c:pt>
                <c:pt idx="82">
                  <c:v>42505</c:v>
                </c:pt>
                <c:pt idx="83">
                  <c:v>42512</c:v>
                </c:pt>
                <c:pt idx="84">
                  <c:v>42519</c:v>
                </c:pt>
                <c:pt idx="85">
                  <c:v>42526</c:v>
                </c:pt>
                <c:pt idx="86">
                  <c:v>42533</c:v>
                </c:pt>
                <c:pt idx="87">
                  <c:v>42540</c:v>
                </c:pt>
                <c:pt idx="88">
                  <c:v>42547</c:v>
                </c:pt>
                <c:pt idx="89">
                  <c:v>42554</c:v>
                </c:pt>
                <c:pt idx="90">
                  <c:v>42561</c:v>
                </c:pt>
                <c:pt idx="91">
                  <c:v>42568</c:v>
                </c:pt>
                <c:pt idx="92">
                  <c:v>42575</c:v>
                </c:pt>
                <c:pt idx="93">
                  <c:v>42582</c:v>
                </c:pt>
                <c:pt idx="94">
                  <c:v>42589</c:v>
                </c:pt>
                <c:pt idx="95">
                  <c:v>42596</c:v>
                </c:pt>
                <c:pt idx="96">
                  <c:v>42603</c:v>
                </c:pt>
                <c:pt idx="97">
                  <c:v>42610</c:v>
                </c:pt>
                <c:pt idx="98">
                  <c:v>42617</c:v>
                </c:pt>
                <c:pt idx="99">
                  <c:v>42624</c:v>
                </c:pt>
                <c:pt idx="100">
                  <c:v>42631</c:v>
                </c:pt>
                <c:pt idx="101">
                  <c:v>42638</c:v>
                </c:pt>
                <c:pt idx="102">
                  <c:v>42645</c:v>
                </c:pt>
                <c:pt idx="103">
                  <c:v>42652</c:v>
                </c:pt>
                <c:pt idx="104">
                  <c:v>42659</c:v>
                </c:pt>
                <c:pt idx="105">
                  <c:v>42666</c:v>
                </c:pt>
                <c:pt idx="106">
                  <c:v>42673</c:v>
                </c:pt>
                <c:pt idx="107">
                  <c:v>42680</c:v>
                </c:pt>
                <c:pt idx="108">
                  <c:v>42687</c:v>
                </c:pt>
                <c:pt idx="109">
                  <c:v>42694</c:v>
                </c:pt>
                <c:pt idx="110">
                  <c:v>42701</c:v>
                </c:pt>
                <c:pt idx="111">
                  <c:v>42708</c:v>
                </c:pt>
                <c:pt idx="112">
                  <c:v>42715</c:v>
                </c:pt>
                <c:pt idx="113">
                  <c:v>42722</c:v>
                </c:pt>
                <c:pt idx="114">
                  <c:v>42729</c:v>
                </c:pt>
                <c:pt idx="115">
                  <c:v>42736</c:v>
                </c:pt>
                <c:pt idx="116">
                  <c:v>42743</c:v>
                </c:pt>
                <c:pt idx="117">
                  <c:v>42750</c:v>
                </c:pt>
                <c:pt idx="118">
                  <c:v>42757</c:v>
                </c:pt>
                <c:pt idx="119">
                  <c:v>42764</c:v>
                </c:pt>
                <c:pt idx="120">
                  <c:v>42771</c:v>
                </c:pt>
                <c:pt idx="121">
                  <c:v>42778</c:v>
                </c:pt>
                <c:pt idx="122">
                  <c:v>42785</c:v>
                </c:pt>
                <c:pt idx="123">
                  <c:v>42792</c:v>
                </c:pt>
                <c:pt idx="124">
                  <c:v>42799</c:v>
                </c:pt>
                <c:pt idx="125">
                  <c:v>42806</c:v>
                </c:pt>
                <c:pt idx="126">
                  <c:v>42813</c:v>
                </c:pt>
                <c:pt idx="127">
                  <c:v>42820</c:v>
                </c:pt>
                <c:pt idx="128">
                  <c:v>42827</c:v>
                </c:pt>
                <c:pt idx="129">
                  <c:v>42834</c:v>
                </c:pt>
                <c:pt idx="130">
                  <c:v>42841</c:v>
                </c:pt>
                <c:pt idx="131">
                  <c:v>42848</c:v>
                </c:pt>
                <c:pt idx="132">
                  <c:v>42855</c:v>
                </c:pt>
                <c:pt idx="133">
                  <c:v>42862</c:v>
                </c:pt>
                <c:pt idx="134">
                  <c:v>42869</c:v>
                </c:pt>
                <c:pt idx="135">
                  <c:v>42876</c:v>
                </c:pt>
                <c:pt idx="136">
                  <c:v>42883</c:v>
                </c:pt>
                <c:pt idx="137">
                  <c:v>42890</c:v>
                </c:pt>
                <c:pt idx="138">
                  <c:v>42897</c:v>
                </c:pt>
                <c:pt idx="139">
                  <c:v>42904</c:v>
                </c:pt>
                <c:pt idx="140">
                  <c:v>42911</c:v>
                </c:pt>
                <c:pt idx="141">
                  <c:v>42918</c:v>
                </c:pt>
                <c:pt idx="142">
                  <c:v>42925</c:v>
                </c:pt>
                <c:pt idx="143">
                  <c:v>42932</c:v>
                </c:pt>
                <c:pt idx="144">
                  <c:v>42939</c:v>
                </c:pt>
                <c:pt idx="145">
                  <c:v>42946</c:v>
                </c:pt>
                <c:pt idx="146">
                  <c:v>42953</c:v>
                </c:pt>
                <c:pt idx="147">
                  <c:v>42960</c:v>
                </c:pt>
                <c:pt idx="148">
                  <c:v>42967</c:v>
                </c:pt>
                <c:pt idx="149">
                  <c:v>42974</c:v>
                </c:pt>
                <c:pt idx="150">
                  <c:v>42981</c:v>
                </c:pt>
                <c:pt idx="151">
                  <c:v>42988</c:v>
                </c:pt>
                <c:pt idx="152">
                  <c:v>42995</c:v>
                </c:pt>
                <c:pt idx="153">
                  <c:v>43002</c:v>
                </c:pt>
                <c:pt idx="154">
                  <c:v>43009</c:v>
                </c:pt>
                <c:pt idx="155">
                  <c:v>43016</c:v>
                </c:pt>
                <c:pt idx="156">
                  <c:v>43023</c:v>
                </c:pt>
                <c:pt idx="157">
                  <c:v>43030</c:v>
                </c:pt>
              </c:numCache>
            </c:numRef>
          </c:xVal>
          <c:yVal>
            <c:numRef>
              <c:f>Sheet1!$B$8:$ZZ$8</c:f>
              <c:numCache>
                <c:formatCode>#,##0</c:formatCode>
                <c:ptCount val="701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7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9</c:v>
                </c:pt>
                <c:pt idx="13">
                  <c:v>5</c:v>
                </c:pt>
                <c:pt idx="14">
                  <c:v>5</c:v>
                </c:pt>
                <c:pt idx="15">
                  <c:v>7.3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5.0999999999999996</c:v>
                </c:pt>
                <c:pt idx="24">
                  <c:v>7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4</c:v>
                </c:pt>
                <c:pt idx="29">
                  <c:v>6</c:v>
                </c:pt>
                <c:pt idx="30">
                  <c:v>1.4</c:v>
                </c:pt>
                <c:pt idx="31">
                  <c:v>5</c:v>
                </c:pt>
                <c:pt idx="32">
                  <c:v>5</c:v>
                </c:pt>
                <c:pt idx="33">
                  <c:v>6.3</c:v>
                </c:pt>
                <c:pt idx="34">
                  <c:v>5</c:v>
                </c:pt>
                <c:pt idx="35">
                  <c:v>6</c:v>
                </c:pt>
                <c:pt idx="36">
                  <c:v>6</c:v>
                </c:pt>
                <c:pt idx="37">
                  <c:v>9.3000000000000007</c:v>
                </c:pt>
                <c:pt idx="38">
                  <c:v>6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19</c:v>
                </c:pt>
                <c:pt idx="44">
                  <c:v>6</c:v>
                </c:pt>
                <c:pt idx="45">
                  <c:v>6</c:v>
                </c:pt>
                <c:pt idx="46">
                  <c:v>5</c:v>
                </c:pt>
                <c:pt idx="47">
                  <c:v>7</c:v>
                </c:pt>
                <c:pt idx="48">
                  <c:v>7</c:v>
                </c:pt>
                <c:pt idx="49">
                  <c:v>5</c:v>
                </c:pt>
                <c:pt idx="50">
                  <c:v>6</c:v>
                </c:pt>
                <c:pt idx="51">
                  <c:v>6</c:v>
                </c:pt>
                <c:pt idx="52">
                  <c:v>4</c:v>
                </c:pt>
                <c:pt idx="54">
                  <c:v>4</c:v>
                </c:pt>
                <c:pt idx="55">
                  <c:v>7</c:v>
                </c:pt>
                <c:pt idx="56">
                  <c:v>4.3</c:v>
                </c:pt>
                <c:pt idx="57">
                  <c:v>7</c:v>
                </c:pt>
                <c:pt idx="58">
                  <c:v>5</c:v>
                </c:pt>
                <c:pt idx="59">
                  <c:v>4</c:v>
                </c:pt>
                <c:pt idx="60">
                  <c:v>6</c:v>
                </c:pt>
                <c:pt idx="61">
                  <c:v>5</c:v>
                </c:pt>
                <c:pt idx="62">
                  <c:v>5</c:v>
                </c:pt>
                <c:pt idx="63">
                  <c:v>4</c:v>
                </c:pt>
                <c:pt idx="64">
                  <c:v>8</c:v>
                </c:pt>
                <c:pt idx="65">
                  <c:v>7</c:v>
                </c:pt>
                <c:pt idx="66">
                  <c:v>5</c:v>
                </c:pt>
                <c:pt idx="67">
                  <c:v>5</c:v>
                </c:pt>
                <c:pt idx="68">
                  <c:v>4.3</c:v>
                </c:pt>
                <c:pt idx="69">
                  <c:v>1</c:v>
                </c:pt>
                <c:pt idx="70">
                  <c:v>0</c:v>
                </c:pt>
                <c:pt idx="71">
                  <c:v>1.4</c:v>
                </c:pt>
                <c:pt idx="72">
                  <c:v>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0.7</c:v>
                </c:pt>
                <c:pt idx="83">
                  <c:v>5.7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8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7</c:v>
                </c:pt>
                <c:pt idx="103">
                  <c:v>5</c:v>
                </c:pt>
                <c:pt idx="104">
                  <c:v>7</c:v>
                </c:pt>
                <c:pt idx="105">
                  <c:v>5</c:v>
                </c:pt>
                <c:pt idx="106" formatCode="General">
                  <c:v>10</c:v>
                </c:pt>
                <c:pt idx="107">
                  <c:v>6</c:v>
                </c:pt>
                <c:pt idx="108">
                  <c:v>6</c:v>
                </c:pt>
                <c:pt idx="109">
                  <c:v>22</c:v>
                </c:pt>
                <c:pt idx="110">
                  <c:v>7</c:v>
                </c:pt>
                <c:pt idx="111">
                  <c:v>27</c:v>
                </c:pt>
                <c:pt idx="112">
                  <c:v>17</c:v>
                </c:pt>
                <c:pt idx="113">
                  <c:v>12</c:v>
                </c:pt>
                <c:pt idx="114">
                  <c:v>12</c:v>
                </c:pt>
                <c:pt idx="115">
                  <c:v>5</c:v>
                </c:pt>
                <c:pt idx="116">
                  <c:v>5</c:v>
                </c:pt>
                <c:pt idx="117">
                  <c:v>9</c:v>
                </c:pt>
                <c:pt idx="118">
                  <c:v>7</c:v>
                </c:pt>
                <c:pt idx="119">
                  <c:v>9</c:v>
                </c:pt>
                <c:pt idx="120" formatCode="General">
                  <c:v>9.8000000000000007</c:v>
                </c:pt>
                <c:pt idx="121">
                  <c:v>7</c:v>
                </c:pt>
                <c:pt idx="122">
                  <c:v>9</c:v>
                </c:pt>
                <c:pt idx="123">
                  <c:v>7</c:v>
                </c:pt>
                <c:pt idx="124">
                  <c:v>9</c:v>
                </c:pt>
                <c:pt idx="133" formatCode="General">
                  <c:v>0</c:v>
                </c:pt>
                <c:pt idx="135" formatCode="General">
                  <c:v>0</c:v>
                </c:pt>
                <c:pt idx="137" formatCode="General">
                  <c:v>1</c:v>
                </c:pt>
                <c:pt idx="138" formatCode="General">
                  <c:v>0</c:v>
                </c:pt>
                <c:pt idx="139" formatCode="General">
                  <c:v>1</c:v>
                </c:pt>
                <c:pt idx="140" formatCode="General">
                  <c:v>1</c:v>
                </c:pt>
                <c:pt idx="141" formatCode="General">
                  <c:v>0</c:v>
                </c:pt>
                <c:pt idx="142" formatCode="General">
                  <c:v>0</c:v>
                </c:pt>
                <c:pt idx="143" formatCode="General">
                  <c:v>0</c:v>
                </c:pt>
                <c:pt idx="144" formatCode="General">
                  <c:v>0</c:v>
                </c:pt>
                <c:pt idx="145" formatCode="General">
                  <c:v>1</c:v>
                </c:pt>
                <c:pt idx="146" formatCode="General">
                  <c:v>1</c:v>
                </c:pt>
                <c:pt idx="147" formatCode="General">
                  <c:v>0</c:v>
                </c:pt>
                <c:pt idx="148" formatCode="General">
                  <c:v>0</c:v>
                </c:pt>
                <c:pt idx="149" formatCode="General">
                  <c:v>0</c:v>
                </c:pt>
                <c:pt idx="150" formatCode="General">
                  <c:v>1</c:v>
                </c:pt>
                <c:pt idx="151" formatCode="General">
                  <c:v>1</c:v>
                </c:pt>
                <c:pt idx="152" formatCode="General">
                  <c:v>0</c:v>
                </c:pt>
                <c:pt idx="153" formatCode="General">
                  <c:v>0</c:v>
                </c:pt>
                <c:pt idx="154" formatCode="General">
                  <c:v>0</c:v>
                </c:pt>
                <c:pt idx="155" formatCode="General">
                  <c:v>0</c:v>
                </c:pt>
                <c:pt idx="156" formatCode="General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HEASARC SIA</c:v>
          </c:tx>
          <c:spPr>
            <a:ln w="28575">
              <a:noFill/>
            </a:ln>
          </c:spPr>
          <c:marker>
            <c:spPr>
              <a:ln>
                <a:solidFill>
                  <a:schemeClr val="accent1"/>
                </a:solidFill>
              </a:ln>
            </c:spPr>
          </c:marker>
          <c:xVal>
            <c:numRef>
              <c:f>Sheet1!$B$3:$ZZ$3</c:f>
              <c:numCache>
                <c:formatCode>m/d/yyyy</c:formatCode>
                <c:ptCount val="701"/>
                <c:pt idx="0">
                  <c:v>41931</c:v>
                </c:pt>
                <c:pt idx="1">
                  <c:v>41938</c:v>
                </c:pt>
                <c:pt idx="2">
                  <c:v>41945</c:v>
                </c:pt>
                <c:pt idx="3">
                  <c:v>41952</c:v>
                </c:pt>
                <c:pt idx="4">
                  <c:v>41959</c:v>
                </c:pt>
                <c:pt idx="5">
                  <c:v>41966</c:v>
                </c:pt>
                <c:pt idx="6">
                  <c:v>41973</c:v>
                </c:pt>
                <c:pt idx="7">
                  <c:v>41980</c:v>
                </c:pt>
                <c:pt idx="8">
                  <c:v>41987</c:v>
                </c:pt>
                <c:pt idx="9">
                  <c:v>41994</c:v>
                </c:pt>
                <c:pt idx="10">
                  <c:v>42001</c:v>
                </c:pt>
                <c:pt idx="11">
                  <c:v>42008</c:v>
                </c:pt>
                <c:pt idx="12">
                  <c:v>42015</c:v>
                </c:pt>
                <c:pt idx="13">
                  <c:v>42022</c:v>
                </c:pt>
                <c:pt idx="14">
                  <c:v>42029</c:v>
                </c:pt>
                <c:pt idx="15">
                  <c:v>42036</c:v>
                </c:pt>
                <c:pt idx="16">
                  <c:v>42043</c:v>
                </c:pt>
                <c:pt idx="17">
                  <c:v>42050</c:v>
                </c:pt>
                <c:pt idx="18">
                  <c:v>42057</c:v>
                </c:pt>
                <c:pt idx="19">
                  <c:v>42064</c:v>
                </c:pt>
                <c:pt idx="20">
                  <c:v>42071</c:v>
                </c:pt>
                <c:pt idx="21">
                  <c:v>42078</c:v>
                </c:pt>
                <c:pt idx="22">
                  <c:v>42085</c:v>
                </c:pt>
                <c:pt idx="23">
                  <c:v>42092</c:v>
                </c:pt>
                <c:pt idx="24">
                  <c:v>42099</c:v>
                </c:pt>
                <c:pt idx="25">
                  <c:v>42106</c:v>
                </c:pt>
                <c:pt idx="26">
                  <c:v>42113</c:v>
                </c:pt>
                <c:pt idx="27">
                  <c:v>42120</c:v>
                </c:pt>
                <c:pt idx="28">
                  <c:v>42127</c:v>
                </c:pt>
                <c:pt idx="29">
                  <c:v>42134</c:v>
                </c:pt>
                <c:pt idx="30">
                  <c:v>42141</c:v>
                </c:pt>
                <c:pt idx="31">
                  <c:v>42148</c:v>
                </c:pt>
                <c:pt idx="32">
                  <c:v>42155</c:v>
                </c:pt>
                <c:pt idx="33">
                  <c:v>42162</c:v>
                </c:pt>
                <c:pt idx="34">
                  <c:v>42169</c:v>
                </c:pt>
                <c:pt idx="35">
                  <c:v>42176</c:v>
                </c:pt>
                <c:pt idx="36">
                  <c:v>42183</c:v>
                </c:pt>
                <c:pt idx="37">
                  <c:v>42190</c:v>
                </c:pt>
                <c:pt idx="38">
                  <c:v>42197</c:v>
                </c:pt>
                <c:pt idx="39">
                  <c:v>42204</c:v>
                </c:pt>
                <c:pt idx="40">
                  <c:v>42211</c:v>
                </c:pt>
                <c:pt idx="41">
                  <c:v>42218</c:v>
                </c:pt>
                <c:pt idx="42">
                  <c:v>42225</c:v>
                </c:pt>
                <c:pt idx="43">
                  <c:v>42232</c:v>
                </c:pt>
                <c:pt idx="44">
                  <c:v>42239</c:v>
                </c:pt>
                <c:pt idx="45">
                  <c:v>42246</c:v>
                </c:pt>
                <c:pt idx="46">
                  <c:v>42253</c:v>
                </c:pt>
                <c:pt idx="47">
                  <c:v>42260</c:v>
                </c:pt>
                <c:pt idx="48">
                  <c:v>42267</c:v>
                </c:pt>
                <c:pt idx="49">
                  <c:v>42274</c:v>
                </c:pt>
                <c:pt idx="50">
                  <c:v>42281</c:v>
                </c:pt>
                <c:pt idx="51">
                  <c:v>42288</c:v>
                </c:pt>
                <c:pt idx="52">
                  <c:v>42295</c:v>
                </c:pt>
                <c:pt idx="53">
                  <c:v>42302</c:v>
                </c:pt>
                <c:pt idx="54">
                  <c:v>42309</c:v>
                </c:pt>
                <c:pt idx="55">
                  <c:v>42316</c:v>
                </c:pt>
                <c:pt idx="56">
                  <c:v>42323</c:v>
                </c:pt>
                <c:pt idx="57">
                  <c:v>42330</c:v>
                </c:pt>
                <c:pt idx="58">
                  <c:v>42337</c:v>
                </c:pt>
                <c:pt idx="59">
                  <c:v>42344</c:v>
                </c:pt>
                <c:pt idx="60">
                  <c:v>42351</c:v>
                </c:pt>
                <c:pt idx="61">
                  <c:v>42358</c:v>
                </c:pt>
                <c:pt idx="62">
                  <c:v>42365</c:v>
                </c:pt>
                <c:pt idx="63">
                  <c:v>42372</c:v>
                </c:pt>
                <c:pt idx="64">
                  <c:v>42379</c:v>
                </c:pt>
                <c:pt idx="65">
                  <c:v>42386</c:v>
                </c:pt>
                <c:pt idx="66">
                  <c:v>42393</c:v>
                </c:pt>
                <c:pt idx="67">
                  <c:v>42400</c:v>
                </c:pt>
                <c:pt idx="68">
                  <c:v>42407</c:v>
                </c:pt>
                <c:pt idx="69">
                  <c:v>42414</c:v>
                </c:pt>
                <c:pt idx="70">
                  <c:v>42421</c:v>
                </c:pt>
                <c:pt idx="71">
                  <c:v>42428</c:v>
                </c:pt>
                <c:pt idx="72">
                  <c:v>42435</c:v>
                </c:pt>
                <c:pt idx="73">
                  <c:v>42442</c:v>
                </c:pt>
                <c:pt idx="74">
                  <c:v>42449</c:v>
                </c:pt>
                <c:pt idx="75">
                  <c:v>42456</c:v>
                </c:pt>
                <c:pt idx="76">
                  <c:v>42463</c:v>
                </c:pt>
                <c:pt idx="77">
                  <c:v>42470</c:v>
                </c:pt>
                <c:pt idx="78">
                  <c:v>42477</c:v>
                </c:pt>
                <c:pt idx="79">
                  <c:v>42484</c:v>
                </c:pt>
                <c:pt idx="80">
                  <c:v>42491</c:v>
                </c:pt>
                <c:pt idx="81">
                  <c:v>42498</c:v>
                </c:pt>
                <c:pt idx="82">
                  <c:v>42505</c:v>
                </c:pt>
                <c:pt idx="83">
                  <c:v>42512</c:v>
                </c:pt>
                <c:pt idx="84">
                  <c:v>42519</c:v>
                </c:pt>
                <c:pt idx="85">
                  <c:v>42526</c:v>
                </c:pt>
                <c:pt idx="86">
                  <c:v>42533</c:v>
                </c:pt>
                <c:pt idx="87">
                  <c:v>42540</c:v>
                </c:pt>
                <c:pt idx="88">
                  <c:v>42547</c:v>
                </c:pt>
                <c:pt idx="89">
                  <c:v>42554</c:v>
                </c:pt>
                <c:pt idx="90">
                  <c:v>42561</c:v>
                </c:pt>
                <c:pt idx="91">
                  <c:v>42568</c:v>
                </c:pt>
                <c:pt idx="92">
                  <c:v>42575</c:v>
                </c:pt>
                <c:pt idx="93">
                  <c:v>42582</c:v>
                </c:pt>
                <c:pt idx="94">
                  <c:v>42589</c:v>
                </c:pt>
                <c:pt idx="95">
                  <c:v>42596</c:v>
                </c:pt>
                <c:pt idx="96">
                  <c:v>42603</c:v>
                </c:pt>
                <c:pt idx="97">
                  <c:v>42610</c:v>
                </c:pt>
                <c:pt idx="98">
                  <c:v>42617</c:v>
                </c:pt>
                <c:pt idx="99">
                  <c:v>42624</c:v>
                </c:pt>
                <c:pt idx="100">
                  <c:v>42631</c:v>
                </c:pt>
                <c:pt idx="101">
                  <c:v>42638</c:v>
                </c:pt>
                <c:pt idx="102">
                  <c:v>42645</c:v>
                </c:pt>
                <c:pt idx="103">
                  <c:v>42652</c:v>
                </c:pt>
                <c:pt idx="104">
                  <c:v>42659</c:v>
                </c:pt>
                <c:pt idx="105">
                  <c:v>42666</c:v>
                </c:pt>
                <c:pt idx="106">
                  <c:v>42673</c:v>
                </c:pt>
                <c:pt idx="107">
                  <c:v>42680</c:v>
                </c:pt>
                <c:pt idx="108">
                  <c:v>42687</c:v>
                </c:pt>
                <c:pt idx="109">
                  <c:v>42694</c:v>
                </c:pt>
                <c:pt idx="110">
                  <c:v>42701</c:v>
                </c:pt>
                <c:pt idx="111">
                  <c:v>42708</c:v>
                </c:pt>
                <c:pt idx="112">
                  <c:v>42715</c:v>
                </c:pt>
                <c:pt idx="113">
                  <c:v>42722</c:v>
                </c:pt>
                <c:pt idx="114">
                  <c:v>42729</c:v>
                </c:pt>
                <c:pt idx="115">
                  <c:v>42736</c:v>
                </c:pt>
                <c:pt idx="116">
                  <c:v>42743</c:v>
                </c:pt>
                <c:pt idx="117">
                  <c:v>42750</c:v>
                </c:pt>
                <c:pt idx="118">
                  <c:v>42757</c:v>
                </c:pt>
                <c:pt idx="119">
                  <c:v>42764</c:v>
                </c:pt>
                <c:pt idx="120">
                  <c:v>42771</c:v>
                </c:pt>
                <c:pt idx="121">
                  <c:v>42778</c:v>
                </c:pt>
                <c:pt idx="122">
                  <c:v>42785</c:v>
                </c:pt>
                <c:pt idx="123">
                  <c:v>42792</c:v>
                </c:pt>
                <c:pt idx="124">
                  <c:v>42799</c:v>
                </c:pt>
                <c:pt idx="125">
                  <c:v>42806</c:v>
                </c:pt>
                <c:pt idx="126">
                  <c:v>42813</c:v>
                </c:pt>
                <c:pt idx="127">
                  <c:v>42820</c:v>
                </c:pt>
                <c:pt idx="128">
                  <c:v>42827</c:v>
                </c:pt>
                <c:pt idx="129">
                  <c:v>42834</c:v>
                </c:pt>
                <c:pt idx="130">
                  <c:v>42841</c:v>
                </c:pt>
                <c:pt idx="131">
                  <c:v>42848</c:v>
                </c:pt>
                <c:pt idx="132">
                  <c:v>42855</c:v>
                </c:pt>
                <c:pt idx="133">
                  <c:v>42862</c:v>
                </c:pt>
                <c:pt idx="134">
                  <c:v>42869</c:v>
                </c:pt>
                <c:pt idx="135">
                  <c:v>42876</c:v>
                </c:pt>
                <c:pt idx="136">
                  <c:v>42883</c:v>
                </c:pt>
                <c:pt idx="137">
                  <c:v>42890</c:v>
                </c:pt>
                <c:pt idx="138">
                  <c:v>42897</c:v>
                </c:pt>
                <c:pt idx="139">
                  <c:v>42904</c:v>
                </c:pt>
                <c:pt idx="140">
                  <c:v>42911</c:v>
                </c:pt>
                <c:pt idx="141">
                  <c:v>42918</c:v>
                </c:pt>
                <c:pt idx="142">
                  <c:v>42925</c:v>
                </c:pt>
                <c:pt idx="143">
                  <c:v>42932</c:v>
                </c:pt>
                <c:pt idx="144">
                  <c:v>42939</c:v>
                </c:pt>
                <c:pt idx="145">
                  <c:v>42946</c:v>
                </c:pt>
                <c:pt idx="146">
                  <c:v>42953</c:v>
                </c:pt>
                <c:pt idx="147">
                  <c:v>42960</c:v>
                </c:pt>
                <c:pt idx="148">
                  <c:v>42967</c:v>
                </c:pt>
                <c:pt idx="149">
                  <c:v>42974</c:v>
                </c:pt>
                <c:pt idx="150">
                  <c:v>42981</c:v>
                </c:pt>
                <c:pt idx="151">
                  <c:v>42988</c:v>
                </c:pt>
                <c:pt idx="152">
                  <c:v>42995</c:v>
                </c:pt>
                <c:pt idx="153">
                  <c:v>43002</c:v>
                </c:pt>
                <c:pt idx="154">
                  <c:v>43009</c:v>
                </c:pt>
                <c:pt idx="155">
                  <c:v>43016</c:v>
                </c:pt>
                <c:pt idx="156">
                  <c:v>43023</c:v>
                </c:pt>
                <c:pt idx="157">
                  <c:v>43030</c:v>
                </c:pt>
              </c:numCache>
            </c:numRef>
          </c:xVal>
          <c:yVal>
            <c:numRef>
              <c:f>Sheet1!$B$9:$ZZ$9</c:f>
              <c:numCache>
                <c:formatCode>#,##0</c:formatCode>
                <c:ptCount val="701"/>
                <c:pt idx="0">
                  <c:v>1959</c:v>
                </c:pt>
                <c:pt idx="1">
                  <c:v>2447</c:v>
                </c:pt>
                <c:pt idx="2">
                  <c:v>2775</c:v>
                </c:pt>
                <c:pt idx="3">
                  <c:v>2314</c:v>
                </c:pt>
                <c:pt idx="4">
                  <c:v>4482</c:v>
                </c:pt>
                <c:pt idx="5">
                  <c:v>8028</c:v>
                </c:pt>
                <c:pt idx="6">
                  <c:v>3052</c:v>
                </c:pt>
                <c:pt idx="7">
                  <c:v>4222</c:v>
                </c:pt>
                <c:pt idx="8">
                  <c:v>3510</c:v>
                </c:pt>
                <c:pt idx="9">
                  <c:v>2345</c:v>
                </c:pt>
                <c:pt idx="10">
                  <c:v>1834.4</c:v>
                </c:pt>
                <c:pt idx="11">
                  <c:v>1825.3</c:v>
                </c:pt>
                <c:pt idx="12">
                  <c:v>3511</c:v>
                </c:pt>
                <c:pt idx="13">
                  <c:v>2286</c:v>
                </c:pt>
                <c:pt idx="14">
                  <c:v>2777</c:v>
                </c:pt>
                <c:pt idx="15">
                  <c:v>3576</c:v>
                </c:pt>
                <c:pt idx="16">
                  <c:v>3978</c:v>
                </c:pt>
                <c:pt idx="17">
                  <c:v>3392</c:v>
                </c:pt>
                <c:pt idx="18">
                  <c:v>2100</c:v>
                </c:pt>
                <c:pt idx="19">
                  <c:v>2307</c:v>
                </c:pt>
                <c:pt idx="20">
                  <c:v>3613</c:v>
                </c:pt>
                <c:pt idx="21">
                  <c:v>2923</c:v>
                </c:pt>
                <c:pt idx="22">
                  <c:v>2411</c:v>
                </c:pt>
                <c:pt idx="23">
                  <c:v>2100</c:v>
                </c:pt>
                <c:pt idx="24">
                  <c:v>1868</c:v>
                </c:pt>
                <c:pt idx="25">
                  <c:v>1739</c:v>
                </c:pt>
                <c:pt idx="26">
                  <c:v>1631</c:v>
                </c:pt>
                <c:pt idx="27">
                  <c:v>2530</c:v>
                </c:pt>
                <c:pt idx="28">
                  <c:v>2200</c:v>
                </c:pt>
                <c:pt idx="29">
                  <c:v>1878</c:v>
                </c:pt>
                <c:pt idx="30">
                  <c:v>1916</c:v>
                </c:pt>
                <c:pt idx="31">
                  <c:v>2086</c:v>
                </c:pt>
                <c:pt idx="32">
                  <c:v>1760</c:v>
                </c:pt>
                <c:pt idx="33">
                  <c:v>5661</c:v>
                </c:pt>
                <c:pt idx="34">
                  <c:v>1639</c:v>
                </c:pt>
                <c:pt idx="35">
                  <c:v>3592</c:v>
                </c:pt>
                <c:pt idx="36">
                  <c:v>2112</c:v>
                </c:pt>
                <c:pt idx="37">
                  <c:v>1819</c:v>
                </c:pt>
                <c:pt idx="38">
                  <c:v>1838</c:v>
                </c:pt>
                <c:pt idx="39">
                  <c:v>1705</c:v>
                </c:pt>
                <c:pt idx="40">
                  <c:v>2243</c:v>
                </c:pt>
                <c:pt idx="41">
                  <c:v>2085</c:v>
                </c:pt>
                <c:pt idx="42">
                  <c:v>1640</c:v>
                </c:pt>
                <c:pt idx="43">
                  <c:v>1328</c:v>
                </c:pt>
                <c:pt idx="44">
                  <c:v>2146.4</c:v>
                </c:pt>
                <c:pt idx="45">
                  <c:v>1625</c:v>
                </c:pt>
                <c:pt idx="46">
                  <c:v>1130</c:v>
                </c:pt>
                <c:pt idx="47">
                  <c:v>2146</c:v>
                </c:pt>
                <c:pt idx="48">
                  <c:v>1640</c:v>
                </c:pt>
                <c:pt idx="49">
                  <c:v>2537</c:v>
                </c:pt>
                <c:pt idx="50">
                  <c:v>12137</c:v>
                </c:pt>
                <c:pt idx="51">
                  <c:v>1966</c:v>
                </c:pt>
                <c:pt idx="52">
                  <c:v>2812</c:v>
                </c:pt>
                <c:pt idx="53">
                  <c:v>2827</c:v>
                </c:pt>
                <c:pt idx="54">
                  <c:v>1943</c:v>
                </c:pt>
                <c:pt idx="55">
                  <c:v>3457</c:v>
                </c:pt>
                <c:pt idx="56">
                  <c:v>2990</c:v>
                </c:pt>
                <c:pt idx="57">
                  <c:v>2648</c:v>
                </c:pt>
                <c:pt idx="58">
                  <c:v>2826</c:v>
                </c:pt>
                <c:pt idx="59">
                  <c:v>4766</c:v>
                </c:pt>
                <c:pt idx="60">
                  <c:v>2614</c:v>
                </c:pt>
                <c:pt idx="61">
                  <c:v>1256</c:v>
                </c:pt>
                <c:pt idx="62">
                  <c:v>1543</c:v>
                </c:pt>
                <c:pt idx="63">
                  <c:v>1053</c:v>
                </c:pt>
                <c:pt idx="64">
                  <c:v>4050</c:v>
                </c:pt>
                <c:pt idx="65">
                  <c:v>2721</c:v>
                </c:pt>
                <c:pt idx="66">
                  <c:v>1730</c:v>
                </c:pt>
                <c:pt idx="67">
                  <c:v>1250</c:v>
                </c:pt>
                <c:pt idx="68">
                  <c:v>3978</c:v>
                </c:pt>
                <c:pt idx="69">
                  <c:v>1201</c:v>
                </c:pt>
                <c:pt idx="70">
                  <c:v>1964</c:v>
                </c:pt>
                <c:pt idx="71">
                  <c:v>2225</c:v>
                </c:pt>
                <c:pt idx="72">
                  <c:v>2394</c:v>
                </c:pt>
                <c:pt idx="73">
                  <c:v>4878</c:v>
                </c:pt>
                <c:pt idx="74">
                  <c:v>2540</c:v>
                </c:pt>
                <c:pt idx="75">
                  <c:v>5828</c:v>
                </c:pt>
                <c:pt idx="76">
                  <c:v>2302</c:v>
                </c:pt>
                <c:pt idx="77">
                  <c:v>2581</c:v>
                </c:pt>
                <c:pt idx="78" formatCode="General">
                  <c:v>2319</c:v>
                </c:pt>
                <c:pt idx="79">
                  <c:v>3159</c:v>
                </c:pt>
                <c:pt idx="80">
                  <c:v>2629</c:v>
                </c:pt>
                <c:pt idx="81">
                  <c:v>2513</c:v>
                </c:pt>
                <c:pt idx="82">
                  <c:v>2417</c:v>
                </c:pt>
                <c:pt idx="83">
                  <c:v>2484</c:v>
                </c:pt>
                <c:pt idx="84">
                  <c:v>2146</c:v>
                </c:pt>
                <c:pt idx="85">
                  <c:v>2412</c:v>
                </c:pt>
                <c:pt idx="86">
                  <c:v>2349</c:v>
                </c:pt>
                <c:pt idx="87">
                  <c:v>2405</c:v>
                </c:pt>
                <c:pt idx="88">
                  <c:v>2662</c:v>
                </c:pt>
                <c:pt idx="89">
                  <c:v>2065</c:v>
                </c:pt>
                <c:pt idx="90">
                  <c:v>900</c:v>
                </c:pt>
                <c:pt idx="91">
                  <c:v>845</c:v>
                </c:pt>
                <c:pt idx="92">
                  <c:v>1099</c:v>
                </c:pt>
                <c:pt idx="93" formatCode="General">
                  <c:v>1018</c:v>
                </c:pt>
                <c:pt idx="94" formatCode="General">
                  <c:v>1905</c:v>
                </c:pt>
                <c:pt idx="95" formatCode="General">
                  <c:v>2313</c:v>
                </c:pt>
                <c:pt idx="96" formatCode="General">
                  <c:v>2405</c:v>
                </c:pt>
                <c:pt idx="97" formatCode="General">
                  <c:v>2595</c:v>
                </c:pt>
                <c:pt idx="98" formatCode="General">
                  <c:v>2699</c:v>
                </c:pt>
                <c:pt idx="99" formatCode="General">
                  <c:v>2641</c:v>
                </c:pt>
                <c:pt idx="100" formatCode="General">
                  <c:v>2268</c:v>
                </c:pt>
                <c:pt idx="101" formatCode="General">
                  <c:v>2682</c:v>
                </c:pt>
                <c:pt idx="102" formatCode="General">
                  <c:v>2690</c:v>
                </c:pt>
                <c:pt idx="103" formatCode="General">
                  <c:v>2765</c:v>
                </c:pt>
                <c:pt idx="104" formatCode="General">
                  <c:v>2783</c:v>
                </c:pt>
                <c:pt idx="105" formatCode="General">
                  <c:v>3050</c:v>
                </c:pt>
                <c:pt idx="106" formatCode="General">
                  <c:v>2570</c:v>
                </c:pt>
                <c:pt idx="107" formatCode="General">
                  <c:v>2673</c:v>
                </c:pt>
                <c:pt idx="108" formatCode="General">
                  <c:v>2577</c:v>
                </c:pt>
                <c:pt idx="109" formatCode="General">
                  <c:v>2339</c:v>
                </c:pt>
                <c:pt idx="110" formatCode="General">
                  <c:v>4937</c:v>
                </c:pt>
                <c:pt idx="111" formatCode="General">
                  <c:v>5586</c:v>
                </c:pt>
                <c:pt idx="112" formatCode="General">
                  <c:v>2275</c:v>
                </c:pt>
                <c:pt idx="113" formatCode="General">
                  <c:v>2437</c:v>
                </c:pt>
                <c:pt idx="114">
                  <c:v>2420</c:v>
                </c:pt>
                <c:pt idx="115" formatCode="General">
                  <c:v>2527</c:v>
                </c:pt>
                <c:pt idx="116" formatCode="General">
                  <c:v>2633</c:v>
                </c:pt>
                <c:pt idx="117" formatCode="General">
                  <c:v>1955</c:v>
                </c:pt>
                <c:pt idx="118" formatCode="General">
                  <c:v>1469</c:v>
                </c:pt>
                <c:pt idx="119" formatCode="General">
                  <c:v>2388</c:v>
                </c:pt>
                <c:pt idx="120" formatCode="General">
                  <c:v>2896.8</c:v>
                </c:pt>
                <c:pt idx="121" formatCode="General">
                  <c:v>2720</c:v>
                </c:pt>
                <c:pt idx="122" formatCode="General">
                  <c:v>2539</c:v>
                </c:pt>
                <c:pt idx="123" formatCode="General">
                  <c:v>2266.6</c:v>
                </c:pt>
                <c:pt idx="124" formatCode="General">
                  <c:v>2819</c:v>
                </c:pt>
                <c:pt idx="125" formatCode="General">
                  <c:v>18575</c:v>
                </c:pt>
                <c:pt idx="126" formatCode="General">
                  <c:v>350</c:v>
                </c:pt>
                <c:pt idx="127" formatCode="General">
                  <c:v>0</c:v>
                </c:pt>
                <c:pt idx="128" formatCode="General">
                  <c:v>0</c:v>
                </c:pt>
                <c:pt idx="133" formatCode="General">
                  <c:v>1880</c:v>
                </c:pt>
                <c:pt idx="134" formatCode="General">
                  <c:v>1853</c:v>
                </c:pt>
                <c:pt idx="135" formatCode="General">
                  <c:v>1937</c:v>
                </c:pt>
                <c:pt idx="136" formatCode="General">
                  <c:v>1771</c:v>
                </c:pt>
                <c:pt idx="137" formatCode="General">
                  <c:v>2734</c:v>
                </c:pt>
                <c:pt idx="138" formatCode="General">
                  <c:v>2070</c:v>
                </c:pt>
                <c:pt idx="139" formatCode="General">
                  <c:v>2048</c:v>
                </c:pt>
                <c:pt idx="140" formatCode="General">
                  <c:v>2018</c:v>
                </c:pt>
                <c:pt idx="141" formatCode="General">
                  <c:v>1922</c:v>
                </c:pt>
                <c:pt idx="142" formatCode="General">
                  <c:v>2577</c:v>
                </c:pt>
                <c:pt idx="143" formatCode="General">
                  <c:v>1969</c:v>
                </c:pt>
                <c:pt idx="144" formatCode="General">
                  <c:v>2969</c:v>
                </c:pt>
                <c:pt idx="145" formatCode="General">
                  <c:v>2102</c:v>
                </c:pt>
                <c:pt idx="146" formatCode="General">
                  <c:v>1953</c:v>
                </c:pt>
                <c:pt idx="147" formatCode="General">
                  <c:v>2804</c:v>
                </c:pt>
                <c:pt idx="148" formatCode="General">
                  <c:v>2453</c:v>
                </c:pt>
                <c:pt idx="149" formatCode="General">
                  <c:v>2132</c:v>
                </c:pt>
                <c:pt idx="150" formatCode="General">
                  <c:v>2005</c:v>
                </c:pt>
                <c:pt idx="151" formatCode="General">
                  <c:v>1954</c:v>
                </c:pt>
                <c:pt idx="152" formatCode="General">
                  <c:v>28306</c:v>
                </c:pt>
                <c:pt idx="153" formatCode="General">
                  <c:v>3277</c:v>
                </c:pt>
                <c:pt idx="154" formatCode="General">
                  <c:v>1959</c:v>
                </c:pt>
                <c:pt idx="155" formatCode="General">
                  <c:v>16164</c:v>
                </c:pt>
                <c:pt idx="156" formatCode="General">
                  <c:v>2080</c:v>
                </c:pt>
              </c:numCache>
            </c:numRef>
          </c:yVal>
          <c:smooth val="0"/>
        </c:ser>
        <c:ser>
          <c:idx val="5"/>
          <c:order val="4"/>
          <c:tx>
            <c:v>MAST Cone</c:v>
          </c:tx>
          <c:spPr>
            <a:ln w="28575">
              <a:noFill/>
            </a:ln>
          </c:spPr>
          <c:xVal>
            <c:numRef>
              <c:f>Sheet1!$B$3:$ZZ$3</c:f>
              <c:numCache>
                <c:formatCode>m/d/yyyy</c:formatCode>
                <c:ptCount val="701"/>
                <c:pt idx="0">
                  <c:v>41931</c:v>
                </c:pt>
                <c:pt idx="1">
                  <c:v>41938</c:v>
                </c:pt>
                <c:pt idx="2">
                  <c:v>41945</c:v>
                </c:pt>
                <c:pt idx="3">
                  <c:v>41952</c:v>
                </c:pt>
                <c:pt idx="4">
                  <c:v>41959</c:v>
                </c:pt>
                <c:pt idx="5">
                  <c:v>41966</c:v>
                </c:pt>
                <c:pt idx="6">
                  <c:v>41973</c:v>
                </c:pt>
                <c:pt idx="7">
                  <c:v>41980</c:v>
                </c:pt>
                <c:pt idx="8">
                  <c:v>41987</c:v>
                </c:pt>
                <c:pt idx="9">
                  <c:v>41994</c:v>
                </c:pt>
                <c:pt idx="10">
                  <c:v>42001</c:v>
                </c:pt>
                <c:pt idx="11">
                  <c:v>42008</c:v>
                </c:pt>
                <c:pt idx="12">
                  <c:v>42015</c:v>
                </c:pt>
                <c:pt idx="13">
                  <c:v>42022</c:v>
                </c:pt>
                <c:pt idx="14">
                  <c:v>42029</c:v>
                </c:pt>
                <c:pt idx="15">
                  <c:v>42036</c:v>
                </c:pt>
                <c:pt idx="16">
                  <c:v>42043</c:v>
                </c:pt>
                <c:pt idx="17">
                  <c:v>42050</c:v>
                </c:pt>
                <c:pt idx="18">
                  <c:v>42057</c:v>
                </c:pt>
                <c:pt idx="19">
                  <c:v>42064</c:v>
                </c:pt>
                <c:pt idx="20">
                  <c:v>42071</c:v>
                </c:pt>
                <c:pt idx="21">
                  <c:v>42078</c:v>
                </c:pt>
                <c:pt idx="22">
                  <c:v>42085</c:v>
                </c:pt>
                <c:pt idx="23">
                  <c:v>42092</c:v>
                </c:pt>
                <c:pt idx="24">
                  <c:v>42099</c:v>
                </c:pt>
                <c:pt idx="25">
                  <c:v>42106</c:v>
                </c:pt>
                <c:pt idx="26">
                  <c:v>42113</c:v>
                </c:pt>
                <c:pt idx="27">
                  <c:v>42120</c:v>
                </c:pt>
                <c:pt idx="28">
                  <c:v>42127</c:v>
                </c:pt>
                <c:pt idx="29">
                  <c:v>42134</c:v>
                </c:pt>
                <c:pt idx="30">
                  <c:v>42141</c:v>
                </c:pt>
                <c:pt idx="31">
                  <c:v>42148</c:v>
                </c:pt>
                <c:pt idx="32">
                  <c:v>42155</c:v>
                </c:pt>
                <c:pt idx="33">
                  <c:v>42162</c:v>
                </c:pt>
                <c:pt idx="34">
                  <c:v>42169</c:v>
                </c:pt>
                <c:pt idx="35">
                  <c:v>42176</c:v>
                </c:pt>
                <c:pt idx="36">
                  <c:v>42183</c:v>
                </c:pt>
                <c:pt idx="37">
                  <c:v>42190</c:v>
                </c:pt>
                <c:pt idx="38">
                  <c:v>42197</c:v>
                </c:pt>
                <c:pt idx="39">
                  <c:v>42204</c:v>
                </c:pt>
                <c:pt idx="40">
                  <c:v>42211</c:v>
                </c:pt>
                <c:pt idx="41">
                  <c:v>42218</c:v>
                </c:pt>
                <c:pt idx="42">
                  <c:v>42225</c:v>
                </c:pt>
                <c:pt idx="43">
                  <c:v>42232</c:v>
                </c:pt>
                <c:pt idx="44">
                  <c:v>42239</c:v>
                </c:pt>
                <c:pt idx="45">
                  <c:v>42246</c:v>
                </c:pt>
                <c:pt idx="46">
                  <c:v>42253</c:v>
                </c:pt>
                <c:pt idx="47">
                  <c:v>42260</c:v>
                </c:pt>
                <c:pt idx="48">
                  <c:v>42267</c:v>
                </c:pt>
                <c:pt idx="49">
                  <c:v>42274</c:v>
                </c:pt>
                <c:pt idx="50">
                  <c:v>42281</c:v>
                </c:pt>
                <c:pt idx="51">
                  <c:v>42288</c:v>
                </c:pt>
                <c:pt idx="52">
                  <c:v>42295</c:v>
                </c:pt>
                <c:pt idx="53">
                  <c:v>42302</c:v>
                </c:pt>
                <c:pt idx="54">
                  <c:v>42309</c:v>
                </c:pt>
                <c:pt idx="55">
                  <c:v>42316</c:v>
                </c:pt>
                <c:pt idx="56">
                  <c:v>42323</c:v>
                </c:pt>
                <c:pt idx="57">
                  <c:v>42330</c:v>
                </c:pt>
                <c:pt idx="58">
                  <c:v>42337</c:v>
                </c:pt>
                <c:pt idx="59">
                  <c:v>42344</c:v>
                </c:pt>
                <c:pt idx="60">
                  <c:v>42351</c:v>
                </c:pt>
                <c:pt idx="61">
                  <c:v>42358</c:v>
                </c:pt>
                <c:pt idx="62">
                  <c:v>42365</c:v>
                </c:pt>
                <c:pt idx="63">
                  <c:v>42372</c:v>
                </c:pt>
                <c:pt idx="64">
                  <c:v>42379</c:v>
                </c:pt>
                <c:pt idx="65">
                  <c:v>42386</c:v>
                </c:pt>
                <c:pt idx="66">
                  <c:v>42393</c:v>
                </c:pt>
                <c:pt idx="67">
                  <c:v>42400</c:v>
                </c:pt>
                <c:pt idx="68">
                  <c:v>42407</c:v>
                </c:pt>
                <c:pt idx="69">
                  <c:v>42414</c:v>
                </c:pt>
                <c:pt idx="70">
                  <c:v>42421</c:v>
                </c:pt>
                <c:pt idx="71">
                  <c:v>42428</c:v>
                </c:pt>
                <c:pt idx="72">
                  <c:v>42435</c:v>
                </c:pt>
                <c:pt idx="73">
                  <c:v>42442</c:v>
                </c:pt>
                <c:pt idx="74">
                  <c:v>42449</c:v>
                </c:pt>
                <c:pt idx="75">
                  <c:v>42456</c:v>
                </c:pt>
                <c:pt idx="76">
                  <c:v>42463</c:v>
                </c:pt>
                <c:pt idx="77">
                  <c:v>42470</c:v>
                </c:pt>
                <c:pt idx="78">
                  <c:v>42477</c:v>
                </c:pt>
                <c:pt idx="79">
                  <c:v>42484</c:v>
                </c:pt>
                <c:pt idx="80">
                  <c:v>42491</c:v>
                </c:pt>
                <c:pt idx="81">
                  <c:v>42498</c:v>
                </c:pt>
                <c:pt idx="82">
                  <c:v>42505</c:v>
                </c:pt>
                <c:pt idx="83">
                  <c:v>42512</c:v>
                </c:pt>
                <c:pt idx="84">
                  <c:v>42519</c:v>
                </c:pt>
                <c:pt idx="85">
                  <c:v>42526</c:v>
                </c:pt>
                <c:pt idx="86">
                  <c:v>42533</c:v>
                </c:pt>
                <c:pt idx="87">
                  <c:v>42540</c:v>
                </c:pt>
                <c:pt idx="88">
                  <c:v>42547</c:v>
                </c:pt>
                <c:pt idx="89">
                  <c:v>42554</c:v>
                </c:pt>
                <c:pt idx="90">
                  <c:v>42561</c:v>
                </c:pt>
                <c:pt idx="91">
                  <c:v>42568</c:v>
                </c:pt>
                <c:pt idx="92">
                  <c:v>42575</c:v>
                </c:pt>
                <c:pt idx="93">
                  <c:v>42582</c:v>
                </c:pt>
                <c:pt idx="94">
                  <c:v>42589</c:v>
                </c:pt>
                <c:pt idx="95">
                  <c:v>42596</c:v>
                </c:pt>
                <c:pt idx="96">
                  <c:v>42603</c:v>
                </c:pt>
                <c:pt idx="97">
                  <c:v>42610</c:v>
                </c:pt>
                <c:pt idx="98">
                  <c:v>42617</c:v>
                </c:pt>
                <c:pt idx="99">
                  <c:v>42624</c:v>
                </c:pt>
                <c:pt idx="100">
                  <c:v>42631</c:v>
                </c:pt>
                <c:pt idx="101">
                  <c:v>42638</c:v>
                </c:pt>
                <c:pt idx="102">
                  <c:v>42645</c:v>
                </c:pt>
                <c:pt idx="103">
                  <c:v>42652</c:v>
                </c:pt>
                <c:pt idx="104">
                  <c:v>42659</c:v>
                </c:pt>
                <c:pt idx="105">
                  <c:v>42666</c:v>
                </c:pt>
                <c:pt idx="106">
                  <c:v>42673</c:v>
                </c:pt>
                <c:pt idx="107">
                  <c:v>42680</c:v>
                </c:pt>
                <c:pt idx="108">
                  <c:v>42687</c:v>
                </c:pt>
                <c:pt idx="109">
                  <c:v>42694</c:v>
                </c:pt>
                <c:pt idx="110">
                  <c:v>42701</c:v>
                </c:pt>
                <c:pt idx="111">
                  <c:v>42708</c:v>
                </c:pt>
                <c:pt idx="112">
                  <c:v>42715</c:v>
                </c:pt>
                <c:pt idx="113">
                  <c:v>42722</c:v>
                </c:pt>
                <c:pt idx="114">
                  <c:v>42729</c:v>
                </c:pt>
                <c:pt idx="115">
                  <c:v>42736</c:v>
                </c:pt>
                <c:pt idx="116">
                  <c:v>42743</c:v>
                </c:pt>
                <c:pt idx="117">
                  <c:v>42750</c:v>
                </c:pt>
                <c:pt idx="118">
                  <c:v>42757</c:v>
                </c:pt>
                <c:pt idx="119">
                  <c:v>42764</c:v>
                </c:pt>
                <c:pt idx="120">
                  <c:v>42771</c:v>
                </c:pt>
                <c:pt idx="121">
                  <c:v>42778</c:v>
                </c:pt>
                <c:pt idx="122">
                  <c:v>42785</c:v>
                </c:pt>
                <c:pt idx="123">
                  <c:v>42792</c:v>
                </c:pt>
                <c:pt idx="124">
                  <c:v>42799</c:v>
                </c:pt>
                <c:pt idx="125">
                  <c:v>42806</c:v>
                </c:pt>
                <c:pt idx="126">
                  <c:v>42813</c:v>
                </c:pt>
                <c:pt idx="127">
                  <c:v>42820</c:v>
                </c:pt>
                <c:pt idx="128">
                  <c:v>42827</c:v>
                </c:pt>
                <c:pt idx="129">
                  <c:v>42834</c:v>
                </c:pt>
                <c:pt idx="130">
                  <c:v>42841</c:v>
                </c:pt>
                <c:pt idx="131">
                  <c:v>42848</c:v>
                </c:pt>
                <c:pt idx="132">
                  <c:v>42855</c:v>
                </c:pt>
                <c:pt idx="133">
                  <c:v>42862</c:v>
                </c:pt>
                <c:pt idx="134">
                  <c:v>42869</c:v>
                </c:pt>
                <c:pt idx="135">
                  <c:v>42876</c:v>
                </c:pt>
                <c:pt idx="136">
                  <c:v>42883</c:v>
                </c:pt>
                <c:pt idx="137">
                  <c:v>42890</c:v>
                </c:pt>
                <c:pt idx="138">
                  <c:v>42897</c:v>
                </c:pt>
                <c:pt idx="139">
                  <c:v>42904</c:v>
                </c:pt>
                <c:pt idx="140">
                  <c:v>42911</c:v>
                </c:pt>
                <c:pt idx="141">
                  <c:v>42918</c:v>
                </c:pt>
                <c:pt idx="142">
                  <c:v>42925</c:v>
                </c:pt>
                <c:pt idx="143">
                  <c:v>42932</c:v>
                </c:pt>
                <c:pt idx="144">
                  <c:v>42939</c:v>
                </c:pt>
                <c:pt idx="145">
                  <c:v>42946</c:v>
                </c:pt>
                <c:pt idx="146">
                  <c:v>42953</c:v>
                </c:pt>
                <c:pt idx="147">
                  <c:v>42960</c:v>
                </c:pt>
                <c:pt idx="148">
                  <c:v>42967</c:v>
                </c:pt>
                <c:pt idx="149">
                  <c:v>42974</c:v>
                </c:pt>
                <c:pt idx="150">
                  <c:v>42981</c:v>
                </c:pt>
                <c:pt idx="151">
                  <c:v>42988</c:v>
                </c:pt>
                <c:pt idx="152">
                  <c:v>42995</c:v>
                </c:pt>
                <c:pt idx="153">
                  <c:v>43002</c:v>
                </c:pt>
                <c:pt idx="154">
                  <c:v>43009</c:v>
                </c:pt>
                <c:pt idx="155">
                  <c:v>43016</c:v>
                </c:pt>
                <c:pt idx="156">
                  <c:v>43023</c:v>
                </c:pt>
                <c:pt idx="157">
                  <c:v>43030</c:v>
                </c:pt>
              </c:numCache>
            </c:numRef>
          </c:xVal>
          <c:yVal>
            <c:numRef>
              <c:f>Sheet1!$B$12:$ZZ$12</c:f>
              <c:numCache>
                <c:formatCode>General</c:formatCode>
                <c:ptCount val="701"/>
                <c:pt idx="0">
                  <c:v>2045</c:v>
                </c:pt>
                <c:pt idx="1">
                  <c:v>989</c:v>
                </c:pt>
                <c:pt idx="2">
                  <c:v>1498</c:v>
                </c:pt>
                <c:pt idx="3">
                  <c:v>1387</c:v>
                </c:pt>
                <c:pt idx="4">
                  <c:v>362</c:v>
                </c:pt>
                <c:pt idx="5">
                  <c:v>4021</c:v>
                </c:pt>
                <c:pt idx="6">
                  <c:v>1548</c:v>
                </c:pt>
                <c:pt idx="7">
                  <c:v>2048</c:v>
                </c:pt>
                <c:pt idx="8">
                  <c:v>1284</c:v>
                </c:pt>
                <c:pt idx="9">
                  <c:v>1090</c:v>
                </c:pt>
                <c:pt idx="10">
                  <c:v>792</c:v>
                </c:pt>
                <c:pt idx="11">
                  <c:v>761</c:v>
                </c:pt>
                <c:pt idx="12">
                  <c:v>1306</c:v>
                </c:pt>
                <c:pt idx="13">
                  <c:v>1118</c:v>
                </c:pt>
                <c:pt idx="14">
                  <c:v>2079</c:v>
                </c:pt>
                <c:pt idx="15">
                  <c:v>1297</c:v>
                </c:pt>
                <c:pt idx="16">
                  <c:v>1132</c:v>
                </c:pt>
                <c:pt idx="17">
                  <c:v>1532</c:v>
                </c:pt>
                <c:pt idx="18">
                  <c:v>1054</c:v>
                </c:pt>
                <c:pt idx="19">
                  <c:v>1259</c:v>
                </c:pt>
                <c:pt idx="20">
                  <c:v>1071</c:v>
                </c:pt>
                <c:pt idx="21">
                  <c:v>1510</c:v>
                </c:pt>
                <c:pt idx="22">
                  <c:v>1130</c:v>
                </c:pt>
                <c:pt idx="23">
                  <c:v>1147</c:v>
                </c:pt>
                <c:pt idx="24">
                  <c:v>1162</c:v>
                </c:pt>
                <c:pt idx="25">
                  <c:v>980</c:v>
                </c:pt>
                <c:pt idx="26">
                  <c:v>890</c:v>
                </c:pt>
                <c:pt idx="27">
                  <c:v>1403</c:v>
                </c:pt>
                <c:pt idx="28">
                  <c:v>1504</c:v>
                </c:pt>
                <c:pt idx="29">
                  <c:v>1056</c:v>
                </c:pt>
                <c:pt idx="30">
                  <c:v>899</c:v>
                </c:pt>
                <c:pt idx="31">
                  <c:v>1980</c:v>
                </c:pt>
                <c:pt idx="32">
                  <c:v>791</c:v>
                </c:pt>
                <c:pt idx="33">
                  <c:v>2988</c:v>
                </c:pt>
                <c:pt idx="34">
                  <c:v>783</c:v>
                </c:pt>
                <c:pt idx="35">
                  <c:v>1789</c:v>
                </c:pt>
                <c:pt idx="36">
                  <c:v>1022</c:v>
                </c:pt>
                <c:pt idx="37">
                  <c:v>929</c:v>
                </c:pt>
                <c:pt idx="38">
                  <c:v>958</c:v>
                </c:pt>
                <c:pt idx="39">
                  <c:v>884</c:v>
                </c:pt>
                <c:pt idx="40">
                  <c:v>1048</c:v>
                </c:pt>
                <c:pt idx="41">
                  <c:v>9062</c:v>
                </c:pt>
                <c:pt idx="42">
                  <c:v>1112</c:v>
                </c:pt>
                <c:pt idx="43">
                  <c:v>798</c:v>
                </c:pt>
                <c:pt idx="44">
                  <c:v>2578</c:v>
                </c:pt>
                <c:pt idx="45">
                  <c:v>753</c:v>
                </c:pt>
                <c:pt idx="46">
                  <c:v>588</c:v>
                </c:pt>
                <c:pt idx="47">
                  <c:v>568</c:v>
                </c:pt>
                <c:pt idx="48">
                  <c:v>838</c:v>
                </c:pt>
                <c:pt idx="49">
                  <c:v>1303</c:v>
                </c:pt>
                <c:pt idx="50">
                  <c:v>4985</c:v>
                </c:pt>
                <c:pt idx="51">
                  <c:v>1090</c:v>
                </c:pt>
                <c:pt idx="52">
                  <c:v>1317</c:v>
                </c:pt>
                <c:pt idx="53">
                  <c:v>1599</c:v>
                </c:pt>
                <c:pt idx="54">
                  <c:v>1052</c:v>
                </c:pt>
                <c:pt idx="55">
                  <c:v>1866</c:v>
                </c:pt>
                <c:pt idx="56">
                  <c:v>1487</c:v>
                </c:pt>
                <c:pt idx="57">
                  <c:v>2042</c:v>
                </c:pt>
                <c:pt idx="58">
                  <c:v>1351</c:v>
                </c:pt>
                <c:pt idx="59">
                  <c:v>2661</c:v>
                </c:pt>
                <c:pt idx="60">
                  <c:v>1249</c:v>
                </c:pt>
                <c:pt idx="61">
                  <c:v>780</c:v>
                </c:pt>
                <c:pt idx="62">
                  <c:v>786</c:v>
                </c:pt>
                <c:pt idx="63">
                  <c:v>370</c:v>
                </c:pt>
                <c:pt idx="64">
                  <c:v>790</c:v>
                </c:pt>
                <c:pt idx="65">
                  <c:v>878</c:v>
                </c:pt>
                <c:pt idx="66">
                  <c:v>723</c:v>
                </c:pt>
                <c:pt idx="67">
                  <c:v>712</c:v>
                </c:pt>
                <c:pt idx="68">
                  <c:v>680</c:v>
                </c:pt>
                <c:pt idx="69">
                  <c:v>735</c:v>
                </c:pt>
                <c:pt idx="70">
                  <c:v>1227</c:v>
                </c:pt>
                <c:pt idx="71">
                  <c:v>1280</c:v>
                </c:pt>
                <c:pt idx="72">
                  <c:v>1172</c:v>
                </c:pt>
                <c:pt idx="73">
                  <c:v>1792</c:v>
                </c:pt>
                <c:pt idx="74">
                  <c:v>1335</c:v>
                </c:pt>
                <c:pt idx="75">
                  <c:v>2980</c:v>
                </c:pt>
                <c:pt idx="76">
                  <c:v>1233</c:v>
                </c:pt>
                <c:pt idx="77">
                  <c:v>1385</c:v>
                </c:pt>
                <c:pt idx="78">
                  <c:v>1236</c:v>
                </c:pt>
                <c:pt idx="79">
                  <c:v>1136</c:v>
                </c:pt>
                <c:pt idx="80">
                  <c:v>1280</c:v>
                </c:pt>
                <c:pt idx="81">
                  <c:v>1245</c:v>
                </c:pt>
                <c:pt idx="82">
                  <c:v>1280</c:v>
                </c:pt>
                <c:pt idx="83">
                  <c:v>1290</c:v>
                </c:pt>
                <c:pt idx="84">
                  <c:v>1283</c:v>
                </c:pt>
                <c:pt idx="85">
                  <c:v>1262</c:v>
                </c:pt>
                <c:pt idx="86">
                  <c:v>1223</c:v>
                </c:pt>
                <c:pt idx="87">
                  <c:v>1407</c:v>
                </c:pt>
                <c:pt idx="88">
                  <c:v>1203</c:v>
                </c:pt>
                <c:pt idx="89">
                  <c:v>1111</c:v>
                </c:pt>
                <c:pt idx="90">
                  <c:v>392</c:v>
                </c:pt>
                <c:pt idx="91">
                  <c:v>431</c:v>
                </c:pt>
                <c:pt idx="92">
                  <c:v>267</c:v>
                </c:pt>
                <c:pt idx="93">
                  <c:v>388</c:v>
                </c:pt>
                <c:pt idx="94">
                  <c:v>538</c:v>
                </c:pt>
                <c:pt idx="95">
                  <c:v>2555</c:v>
                </c:pt>
                <c:pt idx="96">
                  <c:v>1334</c:v>
                </c:pt>
                <c:pt idx="97">
                  <c:v>1459</c:v>
                </c:pt>
                <c:pt idx="98">
                  <c:v>2010</c:v>
                </c:pt>
                <c:pt idx="99">
                  <c:v>1533</c:v>
                </c:pt>
                <c:pt idx="100">
                  <c:v>2175</c:v>
                </c:pt>
                <c:pt idx="101">
                  <c:v>1454</c:v>
                </c:pt>
                <c:pt idx="102">
                  <c:v>866</c:v>
                </c:pt>
                <c:pt idx="103">
                  <c:v>1486</c:v>
                </c:pt>
                <c:pt idx="104">
                  <c:v>1427</c:v>
                </c:pt>
                <c:pt idx="105">
                  <c:v>1604</c:v>
                </c:pt>
                <c:pt idx="106">
                  <c:v>1340</c:v>
                </c:pt>
                <c:pt idx="107">
                  <c:v>3018</c:v>
                </c:pt>
                <c:pt idx="108">
                  <c:v>964</c:v>
                </c:pt>
                <c:pt idx="109">
                  <c:v>1226</c:v>
                </c:pt>
                <c:pt idx="110">
                  <c:v>2330</c:v>
                </c:pt>
                <c:pt idx="111">
                  <c:v>851</c:v>
                </c:pt>
                <c:pt idx="112">
                  <c:v>1175</c:v>
                </c:pt>
                <c:pt idx="113">
                  <c:v>1183</c:v>
                </c:pt>
                <c:pt idx="114">
                  <c:v>1271</c:v>
                </c:pt>
                <c:pt idx="115">
                  <c:v>1159</c:v>
                </c:pt>
                <c:pt idx="116">
                  <c:v>1385</c:v>
                </c:pt>
                <c:pt idx="117">
                  <c:v>1022</c:v>
                </c:pt>
                <c:pt idx="118">
                  <c:v>721</c:v>
                </c:pt>
                <c:pt idx="119">
                  <c:v>1220</c:v>
                </c:pt>
                <c:pt idx="120">
                  <c:v>1388</c:v>
                </c:pt>
                <c:pt idx="121" formatCode="#,##0">
                  <c:v>5210</c:v>
                </c:pt>
                <c:pt idx="122" formatCode="#,##0">
                  <c:v>19503</c:v>
                </c:pt>
                <c:pt idx="123" formatCode="#,##0">
                  <c:v>17888</c:v>
                </c:pt>
                <c:pt idx="124" formatCode="#,##0">
                  <c:v>1449</c:v>
                </c:pt>
                <c:pt idx="125" formatCode="#,##0">
                  <c:v>651</c:v>
                </c:pt>
                <c:pt idx="126" formatCode="#,##0">
                  <c:v>1739</c:v>
                </c:pt>
                <c:pt idx="127" formatCode="#,##0">
                  <c:v>661</c:v>
                </c:pt>
                <c:pt idx="128" formatCode="#,##0">
                  <c:v>387</c:v>
                </c:pt>
                <c:pt idx="129" formatCode="#,##0">
                  <c:v>404</c:v>
                </c:pt>
                <c:pt idx="130" formatCode="#,##0">
                  <c:v>1059</c:v>
                </c:pt>
                <c:pt idx="131" formatCode="#,##0">
                  <c:v>1163</c:v>
                </c:pt>
                <c:pt idx="142">
                  <c:v>141</c:v>
                </c:pt>
                <c:pt idx="143">
                  <c:v>1371</c:v>
                </c:pt>
                <c:pt idx="144">
                  <c:v>3998</c:v>
                </c:pt>
                <c:pt idx="145">
                  <c:v>3225</c:v>
                </c:pt>
                <c:pt idx="146">
                  <c:v>1205</c:v>
                </c:pt>
                <c:pt idx="147">
                  <c:v>17347</c:v>
                </c:pt>
                <c:pt idx="148">
                  <c:v>1517</c:v>
                </c:pt>
                <c:pt idx="149">
                  <c:v>1171</c:v>
                </c:pt>
                <c:pt idx="150">
                  <c:v>1248</c:v>
                </c:pt>
                <c:pt idx="151">
                  <c:v>13503</c:v>
                </c:pt>
                <c:pt idx="152">
                  <c:v>4642</c:v>
                </c:pt>
                <c:pt idx="153">
                  <c:v>3615</c:v>
                </c:pt>
                <c:pt idx="154">
                  <c:v>2644</c:v>
                </c:pt>
                <c:pt idx="155">
                  <c:v>1302</c:v>
                </c:pt>
                <c:pt idx="156">
                  <c:v>1153</c:v>
                </c:pt>
              </c:numCache>
            </c:numRef>
          </c:yVal>
          <c:smooth val="0"/>
        </c:ser>
        <c:ser>
          <c:idx val="6"/>
          <c:order val="5"/>
          <c:tx>
            <c:v>MAST SIA</c:v>
          </c:tx>
          <c:spPr>
            <a:ln w="28575">
              <a:noFill/>
            </a:ln>
          </c:spPr>
          <c:marker>
            <c:spPr>
              <a:ln>
                <a:solidFill>
                  <a:schemeClr val="accent6"/>
                </a:solidFill>
              </a:ln>
            </c:spPr>
          </c:marker>
          <c:xVal>
            <c:numRef>
              <c:f>Sheet1!$B$3:$ZZ$3</c:f>
              <c:numCache>
                <c:formatCode>m/d/yyyy</c:formatCode>
                <c:ptCount val="701"/>
                <c:pt idx="0">
                  <c:v>41931</c:v>
                </c:pt>
                <c:pt idx="1">
                  <c:v>41938</c:v>
                </c:pt>
                <c:pt idx="2">
                  <c:v>41945</c:v>
                </c:pt>
                <c:pt idx="3">
                  <c:v>41952</c:v>
                </c:pt>
                <c:pt idx="4">
                  <c:v>41959</c:v>
                </c:pt>
                <c:pt idx="5">
                  <c:v>41966</c:v>
                </c:pt>
                <c:pt idx="6">
                  <c:v>41973</c:v>
                </c:pt>
                <c:pt idx="7">
                  <c:v>41980</c:v>
                </c:pt>
                <c:pt idx="8">
                  <c:v>41987</c:v>
                </c:pt>
                <c:pt idx="9">
                  <c:v>41994</c:v>
                </c:pt>
                <c:pt idx="10">
                  <c:v>42001</c:v>
                </c:pt>
                <c:pt idx="11">
                  <c:v>42008</c:v>
                </c:pt>
                <c:pt idx="12">
                  <c:v>42015</c:v>
                </c:pt>
                <c:pt idx="13">
                  <c:v>42022</c:v>
                </c:pt>
                <c:pt idx="14">
                  <c:v>42029</c:v>
                </c:pt>
                <c:pt idx="15">
                  <c:v>42036</c:v>
                </c:pt>
                <c:pt idx="16">
                  <c:v>42043</c:v>
                </c:pt>
                <c:pt idx="17">
                  <c:v>42050</c:v>
                </c:pt>
                <c:pt idx="18">
                  <c:v>42057</c:v>
                </c:pt>
                <c:pt idx="19">
                  <c:v>42064</c:v>
                </c:pt>
                <c:pt idx="20">
                  <c:v>42071</c:v>
                </c:pt>
                <c:pt idx="21">
                  <c:v>42078</c:v>
                </c:pt>
                <c:pt idx="22">
                  <c:v>42085</c:v>
                </c:pt>
                <c:pt idx="23">
                  <c:v>42092</c:v>
                </c:pt>
                <c:pt idx="24">
                  <c:v>42099</c:v>
                </c:pt>
                <c:pt idx="25">
                  <c:v>42106</c:v>
                </c:pt>
                <c:pt idx="26">
                  <c:v>42113</c:v>
                </c:pt>
                <c:pt idx="27">
                  <c:v>42120</c:v>
                </c:pt>
                <c:pt idx="28">
                  <c:v>42127</c:v>
                </c:pt>
                <c:pt idx="29">
                  <c:v>42134</c:v>
                </c:pt>
                <c:pt idx="30">
                  <c:v>42141</c:v>
                </c:pt>
                <c:pt idx="31">
                  <c:v>42148</c:v>
                </c:pt>
                <c:pt idx="32">
                  <c:v>42155</c:v>
                </c:pt>
                <c:pt idx="33">
                  <c:v>42162</c:v>
                </c:pt>
                <c:pt idx="34">
                  <c:v>42169</c:v>
                </c:pt>
                <c:pt idx="35">
                  <c:v>42176</c:v>
                </c:pt>
                <c:pt idx="36">
                  <c:v>42183</c:v>
                </c:pt>
                <c:pt idx="37">
                  <c:v>42190</c:v>
                </c:pt>
                <c:pt idx="38">
                  <c:v>42197</c:v>
                </c:pt>
                <c:pt idx="39">
                  <c:v>42204</c:v>
                </c:pt>
                <c:pt idx="40">
                  <c:v>42211</c:v>
                </c:pt>
                <c:pt idx="41">
                  <c:v>42218</c:v>
                </c:pt>
                <c:pt idx="42">
                  <c:v>42225</c:v>
                </c:pt>
                <c:pt idx="43">
                  <c:v>42232</c:v>
                </c:pt>
                <c:pt idx="44">
                  <c:v>42239</c:v>
                </c:pt>
                <c:pt idx="45">
                  <c:v>42246</c:v>
                </c:pt>
                <c:pt idx="46">
                  <c:v>42253</c:v>
                </c:pt>
                <c:pt idx="47">
                  <c:v>42260</c:v>
                </c:pt>
                <c:pt idx="48">
                  <c:v>42267</c:v>
                </c:pt>
                <c:pt idx="49">
                  <c:v>42274</c:v>
                </c:pt>
                <c:pt idx="50">
                  <c:v>42281</c:v>
                </c:pt>
                <c:pt idx="51">
                  <c:v>42288</c:v>
                </c:pt>
                <c:pt idx="52">
                  <c:v>42295</c:v>
                </c:pt>
                <c:pt idx="53">
                  <c:v>42302</c:v>
                </c:pt>
                <c:pt idx="54">
                  <c:v>42309</c:v>
                </c:pt>
                <c:pt idx="55">
                  <c:v>42316</c:v>
                </c:pt>
                <c:pt idx="56">
                  <c:v>42323</c:v>
                </c:pt>
                <c:pt idx="57">
                  <c:v>42330</c:v>
                </c:pt>
                <c:pt idx="58">
                  <c:v>42337</c:v>
                </c:pt>
                <c:pt idx="59">
                  <c:v>42344</c:v>
                </c:pt>
                <c:pt idx="60">
                  <c:v>42351</c:v>
                </c:pt>
                <c:pt idx="61">
                  <c:v>42358</c:v>
                </c:pt>
                <c:pt idx="62">
                  <c:v>42365</c:v>
                </c:pt>
                <c:pt idx="63">
                  <c:v>42372</c:v>
                </c:pt>
                <c:pt idx="64">
                  <c:v>42379</c:v>
                </c:pt>
                <c:pt idx="65">
                  <c:v>42386</c:v>
                </c:pt>
                <c:pt idx="66">
                  <c:v>42393</c:v>
                </c:pt>
                <c:pt idx="67">
                  <c:v>42400</c:v>
                </c:pt>
                <c:pt idx="68">
                  <c:v>42407</c:v>
                </c:pt>
                <c:pt idx="69">
                  <c:v>42414</c:v>
                </c:pt>
                <c:pt idx="70">
                  <c:v>42421</c:v>
                </c:pt>
                <c:pt idx="71">
                  <c:v>42428</c:v>
                </c:pt>
                <c:pt idx="72">
                  <c:v>42435</c:v>
                </c:pt>
                <c:pt idx="73">
                  <c:v>42442</c:v>
                </c:pt>
                <c:pt idx="74">
                  <c:v>42449</c:v>
                </c:pt>
                <c:pt idx="75">
                  <c:v>42456</c:v>
                </c:pt>
                <c:pt idx="76">
                  <c:v>42463</c:v>
                </c:pt>
                <c:pt idx="77">
                  <c:v>42470</c:v>
                </c:pt>
                <c:pt idx="78">
                  <c:v>42477</c:v>
                </c:pt>
                <c:pt idx="79">
                  <c:v>42484</c:v>
                </c:pt>
                <c:pt idx="80">
                  <c:v>42491</c:v>
                </c:pt>
                <c:pt idx="81">
                  <c:v>42498</c:v>
                </c:pt>
                <c:pt idx="82">
                  <c:v>42505</c:v>
                </c:pt>
                <c:pt idx="83">
                  <c:v>42512</c:v>
                </c:pt>
                <c:pt idx="84">
                  <c:v>42519</c:v>
                </c:pt>
                <c:pt idx="85">
                  <c:v>42526</c:v>
                </c:pt>
                <c:pt idx="86">
                  <c:v>42533</c:v>
                </c:pt>
                <c:pt idx="87">
                  <c:v>42540</c:v>
                </c:pt>
                <c:pt idx="88">
                  <c:v>42547</c:v>
                </c:pt>
                <c:pt idx="89">
                  <c:v>42554</c:v>
                </c:pt>
                <c:pt idx="90">
                  <c:v>42561</c:v>
                </c:pt>
                <c:pt idx="91">
                  <c:v>42568</c:v>
                </c:pt>
                <c:pt idx="92">
                  <c:v>42575</c:v>
                </c:pt>
                <c:pt idx="93">
                  <c:v>42582</c:v>
                </c:pt>
                <c:pt idx="94">
                  <c:v>42589</c:v>
                </c:pt>
                <c:pt idx="95">
                  <c:v>42596</c:v>
                </c:pt>
                <c:pt idx="96">
                  <c:v>42603</c:v>
                </c:pt>
                <c:pt idx="97">
                  <c:v>42610</c:v>
                </c:pt>
                <c:pt idx="98">
                  <c:v>42617</c:v>
                </c:pt>
                <c:pt idx="99">
                  <c:v>42624</c:v>
                </c:pt>
                <c:pt idx="100">
                  <c:v>42631</c:v>
                </c:pt>
                <c:pt idx="101">
                  <c:v>42638</c:v>
                </c:pt>
                <c:pt idx="102">
                  <c:v>42645</c:v>
                </c:pt>
                <c:pt idx="103">
                  <c:v>42652</c:v>
                </c:pt>
                <c:pt idx="104">
                  <c:v>42659</c:v>
                </c:pt>
                <c:pt idx="105">
                  <c:v>42666</c:v>
                </c:pt>
                <c:pt idx="106">
                  <c:v>42673</c:v>
                </c:pt>
                <c:pt idx="107">
                  <c:v>42680</c:v>
                </c:pt>
                <c:pt idx="108">
                  <c:v>42687</c:v>
                </c:pt>
                <c:pt idx="109">
                  <c:v>42694</c:v>
                </c:pt>
                <c:pt idx="110">
                  <c:v>42701</c:v>
                </c:pt>
                <c:pt idx="111">
                  <c:v>42708</c:v>
                </c:pt>
                <c:pt idx="112">
                  <c:v>42715</c:v>
                </c:pt>
                <c:pt idx="113">
                  <c:v>42722</c:v>
                </c:pt>
                <c:pt idx="114">
                  <c:v>42729</c:v>
                </c:pt>
                <c:pt idx="115">
                  <c:v>42736</c:v>
                </c:pt>
                <c:pt idx="116">
                  <c:v>42743</c:v>
                </c:pt>
                <c:pt idx="117">
                  <c:v>42750</c:v>
                </c:pt>
                <c:pt idx="118">
                  <c:v>42757</c:v>
                </c:pt>
                <c:pt idx="119">
                  <c:v>42764</c:v>
                </c:pt>
                <c:pt idx="120">
                  <c:v>42771</c:v>
                </c:pt>
                <c:pt idx="121">
                  <c:v>42778</c:v>
                </c:pt>
                <c:pt idx="122">
                  <c:v>42785</c:v>
                </c:pt>
                <c:pt idx="123">
                  <c:v>42792</c:v>
                </c:pt>
                <c:pt idx="124">
                  <c:v>42799</c:v>
                </c:pt>
                <c:pt idx="125">
                  <c:v>42806</c:v>
                </c:pt>
                <c:pt idx="126">
                  <c:v>42813</c:v>
                </c:pt>
                <c:pt idx="127">
                  <c:v>42820</c:v>
                </c:pt>
                <c:pt idx="128">
                  <c:v>42827</c:v>
                </c:pt>
                <c:pt idx="129">
                  <c:v>42834</c:v>
                </c:pt>
                <c:pt idx="130">
                  <c:v>42841</c:v>
                </c:pt>
                <c:pt idx="131">
                  <c:v>42848</c:v>
                </c:pt>
                <c:pt idx="132">
                  <c:v>42855</c:v>
                </c:pt>
                <c:pt idx="133">
                  <c:v>42862</c:v>
                </c:pt>
                <c:pt idx="134">
                  <c:v>42869</c:v>
                </c:pt>
                <c:pt idx="135">
                  <c:v>42876</c:v>
                </c:pt>
                <c:pt idx="136">
                  <c:v>42883</c:v>
                </c:pt>
                <c:pt idx="137">
                  <c:v>42890</c:v>
                </c:pt>
                <c:pt idx="138">
                  <c:v>42897</c:v>
                </c:pt>
                <c:pt idx="139">
                  <c:v>42904</c:v>
                </c:pt>
                <c:pt idx="140">
                  <c:v>42911</c:v>
                </c:pt>
                <c:pt idx="141">
                  <c:v>42918</c:v>
                </c:pt>
                <c:pt idx="142">
                  <c:v>42925</c:v>
                </c:pt>
                <c:pt idx="143">
                  <c:v>42932</c:v>
                </c:pt>
                <c:pt idx="144">
                  <c:v>42939</c:v>
                </c:pt>
                <c:pt idx="145">
                  <c:v>42946</c:v>
                </c:pt>
                <c:pt idx="146">
                  <c:v>42953</c:v>
                </c:pt>
                <c:pt idx="147">
                  <c:v>42960</c:v>
                </c:pt>
                <c:pt idx="148">
                  <c:v>42967</c:v>
                </c:pt>
                <c:pt idx="149">
                  <c:v>42974</c:v>
                </c:pt>
                <c:pt idx="150">
                  <c:v>42981</c:v>
                </c:pt>
                <c:pt idx="151">
                  <c:v>42988</c:v>
                </c:pt>
                <c:pt idx="152">
                  <c:v>42995</c:v>
                </c:pt>
                <c:pt idx="153">
                  <c:v>43002</c:v>
                </c:pt>
                <c:pt idx="154">
                  <c:v>43009</c:v>
                </c:pt>
                <c:pt idx="155">
                  <c:v>43016</c:v>
                </c:pt>
                <c:pt idx="156">
                  <c:v>43023</c:v>
                </c:pt>
                <c:pt idx="157">
                  <c:v>43030</c:v>
                </c:pt>
              </c:numCache>
            </c:numRef>
          </c:xVal>
          <c:yVal>
            <c:numRef>
              <c:f>Sheet1!$B$14:$ZZ$14</c:f>
              <c:numCache>
                <c:formatCode>General</c:formatCode>
                <c:ptCount val="701"/>
                <c:pt idx="0">
                  <c:v>4664</c:v>
                </c:pt>
                <c:pt idx="1">
                  <c:v>5963</c:v>
                </c:pt>
                <c:pt idx="2">
                  <c:v>4705</c:v>
                </c:pt>
                <c:pt idx="3">
                  <c:v>1719</c:v>
                </c:pt>
                <c:pt idx="4">
                  <c:v>500</c:v>
                </c:pt>
                <c:pt idx="5">
                  <c:v>5724</c:v>
                </c:pt>
                <c:pt idx="6">
                  <c:v>2304</c:v>
                </c:pt>
                <c:pt idx="7">
                  <c:v>2936</c:v>
                </c:pt>
                <c:pt idx="8">
                  <c:v>1987</c:v>
                </c:pt>
                <c:pt idx="9">
                  <c:v>1718</c:v>
                </c:pt>
                <c:pt idx="10">
                  <c:v>1188</c:v>
                </c:pt>
                <c:pt idx="11">
                  <c:v>1090</c:v>
                </c:pt>
                <c:pt idx="12">
                  <c:v>2033</c:v>
                </c:pt>
                <c:pt idx="13">
                  <c:v>1684</c:v>
                </c:pt>
                <c:pt idx="14">
                  <c:v>2076</c:v>
                </c:pt>
                <c:pt idx="15">
                  <c:v>2058</c:v>
                </c:pt>
                <c:pt idx="16">
                  <c:v>1917</c:v>
                </c:pt>
                <c:pt idx="17">
                  <c:v>2452</c:v>
                </c:pt>
                <c:pt idx="18">
                  <c:v>1628</c:v>
                </c:pt>
                <c:pt idx="19">
                  <c:v>1852</c:v>
                </c:pt>
                <c:pt idx="20">
                  <c:v>2093</c:v>
                </c:pt>
                <c:pt idx="21">
                  <c:v>2273</c:v>
                </c:pt>
                <c:pt idx="22">
                  <c:v>1576</c:v>
                </c:pt>
                <c:pt idx="23">
                  <c:v>1610</c:v>
                </c:pt>
                <c:pt idx="24">
                  <c:v>1387</c:v>
                </c:pt>
                <c:pt idx="25">
                  <c:v>1330</c:v>
                </c:pt>
                <c:pt idx="26">
                  <c:v>1183</c:v>
                </c:pt>
                <c:pt idx="27">
                  <c:v>2132</c:v>
                </c:pt>
                <c:pt idx="28">
                  <c:v>2227</c:v>
                </c:pt>
                <c:pt idx="29">
                  <c:v>1480</c:v>
                </c:pt>
                <c:pt idx="30">
                  <c:v>1381</c:v>
                </c:pt>
                <c:pt idx="31">
                  <c:v>1320</c:v>
                </c:pt>
                <c:pt idx="32">
                  <c:v>1159</c:v>
                </c:pt>
                <c:pt idx="33">
                  <c:v>2263</c:v>
                </c:pt>
                <c:pt idx="34">
                  <c:v>1253</c:v>
                </c:pt>
                <c:pt idx="35">
                  <c:v>2742</c:v>
                </c:pt>
                <c:pt idx="36">
                  <c:v>1619</c:v>
                </c:pt>
                <c:pt idx="37">
                  <c:v>1384</c:v>
                </c:pt>
                <c:pt idx="38">
                  <c:v>1410</c:v>
                </c:pt>
                <c:pt idx="39">
                  <c:v>1278</c:v>
                </c:pt>
                <c:pt idx="40">
                  <c:v>1643</c:v>
                </c:pt>
                <c:pt idx="41">
                  <c:v>940</c:v>
                </c:pt>
                <c:pt idx="42">
                  <c:v>1229</c:v>
                </c:pt>
                <c:pt idx="43">
                  <c:v>1006</c:v>
                </c:pt>
                <c:pt idx="44">
                  <c:v>1257</c:v>
                </c:pt>
                <c:pt idx="45">
                  <c:v>1074</c:v>
                </c:pt>
                <c:pt idx="46">
                  <c:v>834</c:v>
                </c:pt>
                <c:pt idx="47">
                  <c:v>853</c:v>
                </c:pt>
                <c:pt idx="48">
                  <c:v>1151</c:v>
                </c:pt>
                <c:pt idx="49">
                  <c:v>1870</c:v>
                </c:pt>
                <c:pt idx="50">
                  <c:v>6723</c:v>
                </c:pt>
                <c:pt idx="51">
                  <c:v>1460</c:v>
                </c:pt>
                <c:pt idx="52">
                  <c:v>1790</c:v>
                </c:pt>
                <c:pt idx="53">
                  <c:v>2104</c:v>
                </c:pt>
                <c:pt idx="54">
                  <c:v>1386</c:v>
                </c:pt>
                <c:pt idx="55">
                  <c:v>2486</c:v>
                </c:pt>
                <c:pt idx="56">
                  <c:v>2054</c:v>
                </c:pt>
                <c:pt idx="57">
                  <c:v>1938</c:v>
                </c:pt>
                <c:pt idx="58">
                  <c:v>1897</c:v>
                </c:pt>
                <c:pt idx="59">
                  <c:v>3480</c:v>
                </c:pt>
                <c:pt idx="60">
                  <c:v>1898</c:v>
                </c:pt>
                <c:pt idx="61">
                  <c:v>940</c:v>
                </c:pt>
                <c:pt idx="62">
                  <c:v>918</c:v>
                </c:pt>
                <c:pt idx="63">
                  <c:v>23576</c:v>
                </c:pt>
                <c:pt idx="64">
                  <c:v>91080</c:v>
                </c:pt>
                <c:pt idx="65">
                  <c:v>1821</c:v>
                </c:pt>
                <c:pt idx="66">
                  <c:v>1130</c:v>
                </c:pt>
                <c:pt idx="67">
                  <c:v>1103</c:v>
                </c:pt>
                <c:pt idx="68">
                  <c:v>1090</c:v>
                </c:pt>
                <c:pt idx="69">
                  <c:v>1075</c:v>
                </c:pt>
                <c:pt idx="70">
                  <c:v>1648</c:v>
                </c:pt>
                <c:pt idx="71">
                  <c:v>1757</c:v>
                </c:pt>
                <c:pt idx="72">
                  <c:v>1599</c:v>
                </c:pt>
                <c:pt idx="73">
                  <c:v>2592</c:v>
                </c:pt>
                <c:pt idx="74">
                  <c:v>1858</c:v>
                </c:pt>
                <c:pt idx="75">
                  <c:v>3971</c:v>
                </c:pt>
                <c:pt idx="76">
                  <c:v>1717</c:v>
                </c:pt>
                <c:pt idx="77">
                  <c:v>2015</c:v>
                </c:pt>
                <c:pt idx="78">
                  <c:v>1690</c:v>
                </c:pt>
                <c:pt idx="79">
                  <c:v>1679</c:v>
                </c:pt>
                <c:pt idx="80">
                  <c:v>1738</c:v>
                </c:pt>
                <c:pt idx="81">
                  <c:v>1672</c:v>
                </c:pt>
                <c:pt idx="82">
                  <c:v>1825</c:v>
                </c:pt>
                <c:pt idx="83">
                  <c:v>1745</c:v>
                </c:pt>
                <c:pt idx="84">
                  <c:v>1750</c:v>
                </c:pt>
                <c:pt idx="85">
                  <c:v>1733</c:v>
                </c:pt>
                <c:pt idx="86">
                  <c:v>1697</c:v>
                </c:pt>
                <c:pt idx="87">
                  <c:v>1962</c:v>
                </c:pt>
                <c:pt idx="88">
                  <c:v>1620</c:v>
                </c:pt>
                <c:pt idx="89">
                  <c:v>1526</c:v>
                </c:pt>
                <c:pt idx="90">
                  <c:v>604</c:v>
                </c:pt>
                <c:pt idx="91">
                  <c:v>635</c:v>
                </c:pt>
                <c:pt idx="92">
                  <c:v>423</c:v>
                </c:pt>
                <c:pt idx="93">
                  <c:v>657</c:v>
                </c:pt>
                <c:pt idx="94">
                  <c:v>774</c:v>
                </c:pt>
                <c:pt idx="95">
                  <c:v>1741</c:v>
                </c:pt>
                <c:pt idx="96">
                  <c:v>1776</c:v>
                </c:pt>
                <c:pt idx="97">
                  <c:v>2014</c:v>
                </c:pt>
                <c:pt idx="98">
                  <c:v>2324</c:v>
                </c:pt>
                <c:pt idx="99">
                  <c:v>2004</c:v>
                </c:pt>
                <c:pt idx="100">
                  <c:v>1738</c:v>
                </c:pt>
                <c:pt idx="101">
                  <c:v>2049</c:v>
                </c:pt>
                <c:pt idx="102">
                  <c:v>1182</c:v>
                </c:pt>
                <c:pt idx="103">
                  <c:v>2112</c:v>
                </c:pt>
                <c:pt idx="104">
                  <c:v>2104</c:v>
                </c:pt>
                <c:pt idx="105">
                  <c:v>2229</c:v>
                </c:pt>
                <c:pt idx="106">
                  <c:v>1927</c:v>
                </c:pt>
                <c:pt idx="107">
                  <c:v>1599</c:v>
                </c:pt>
                <c:pt idx="108">
                  <c:v>1306</c:v>
                </c:pt>
                <c:pt idx="109">
                  <c:v>2015</c:v>
                </c:pt>
                <c:pt idx="110">
                  <c:v>5238</c:v>
                </c:pt>
                <c:pt idx="111">
                  <c:v>1215</c:v>
                </c:pt>
                <c:pt idx="112">
                  <c:v>1648</c:v>
                </c:pt>
                <c:pt idx="113">
                  <c:v>1612</c:v>
                </c:pt>
                <c:pt idx="114">
                  <c:v>1741</c:v>
                </c:pt>
                <c:pt idx="115">
                  <c:v>1615</c:v>
                </c:pt>
                <c:pt idx="116">
                  <c:v>1951</c:v>
                </c:pt>
                <c:pt idx="117">
                  <c:v>1476</c:v>
                </c:pt>
                <c:pt idx="118">
                  <c:v>1105</c:v>
                </c:pt>
                <c:pt idx="119">
                  <c:v>3702</c:v>
                </c:pt>
                <c:pt idx="120">
                  <c:v>1950</c:v>
                </c:pt>
                <c:pt idx="121">
                  <c:v>1760</c:v>
                </c:pt>
                <c:pt idx="122" formatCode="#,##0">
                  <c:v>1858</c:v>
                </c:pt>
                <c:pt idx="123">
                  <c:v>2136</c:v>
                </c:pt>
                <c:pt idx="124" formatCode="#,##0">
                  <c:v>2130</c:v>
                </c:pt>
                <c:pt idx="125" formatCode="#,##0">
                  <c:v>1011</c:v>
                </c:pt>
                <c:pt idx="126" formatCode="#,##0">
                  <c:v>501</c:v>
                </c:pt>
                <c:pt idx="127" formatCode="#,##0">
                  <c:v>507</c:v>
                </c:pt>
                <c:pt idx="128" formatCode="#,##0">
                  <c:v>456</c:v>
                </c:pt>
                <c:pt idx="129" formatCode="#,##0">
                  <c:v>523</c:v>
                </c:pt>
                <c:pt idx="130" formatCode="#,##0">
                  <c:v>1431</c:v>
                </c:pt>
                <c:pt idx="131" formatCode="#,##0">
                  <c:v>1607</c:v>
                </c:pt>
                <c:pt idx="142">
                  <c:v>273</c:v>
                </c:pt>
                <c:pt idx="143">
                  <c:v>1889</c:v>
                </c:pt>
                <c:pt idx="144">
                  <c:v>2912</c:v>
                </c:pt>
                <c:pt idx="145">
                  <c:v>2009</c:v>
                </c:pt>
                <c:pt idx="146">
                  <c:v>1537</c:v>
                </c:pt>
                <c:pt idx="147">
                  <c:v>1966</c:v>
                </c:pt>
                <c:pt idx="148">
                  <c:v>2123</c:v>
                </c:pt>
                <c:pt idx="149">
                  <c:v>1653</c:v>
                </c:pt>
                <c:pt idx="150">
                  <c:v>1807</c:v>
                </c:pt>
                <c:pt idx="151">
                  <c:v>1871</c:v>
                </c:pt>
                <c:pt idx="152">
                  <c:v>1837</c:v>
                </c:pt>
                <c:pt idx="153">
                  <c:v>3739</c:v>
                </c:pt>
                <c:pt idx="154">
                  <c:v>1891</c:v>
                </c:pt>
                <c:pt idx="155">
                  <c:v>2474</c:v>
                </c:pt>
                <c:pt idx="156">
                  <c:v>1794</c:v>
                </c:pt>
              </c:numCache>
            </c:numRef>
          </c:yVal>
          <c:smooth val="0"/>
        </c:ser>
        <c:ser>
          <c:idx val="7"/>
          <c:order val="6"/>
          <c:tx>
            <c:v>MAST SSA</c:v>
          </c:tx>
          <c:spPr>
            <a:ln w="28575">
              <a:noFill/>
            </a:ln>
          </c:spPr>
          <c:marker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xVal>
            <c:numRef>
              <c:f>Sheet1!$B$3:$ZZ$3</c:f>
              <c:numCache>
                <c:formatCode>m/d/yyyy</c:formatCode>
                <c:ptCount val="701"/>
                <c:pt idx="0">
                  <c:v>41931</c:v>
                </c:pt>
                <c:pt idx="1">
                  <c:v>41938</c:v>
                </c:pt>
                <c:pt idx="2">
                  <c:v>41945</c:v>
                </c:pt>
                <c:pt idx="3">
                  <c:v>41952</c:v>
                </c:pt>
                <c:pt idx="4">
                  <c:v>41959</c:v>
                </c:pt>
                <c:pt idx="5">
                  <c:v>41966</c:v>
                </c:pt>
                <c:pt idx="6">
                  <c:v>41973</c:v>
                </c:pt>
                <c:pt idx="7">
                  <c:v>41980</c:v>
                </c:pt>
                <c:pt idx="8">
                  <c:v>41987</c:v>
                </c:pt>
                <c:pt idx="9">
                  <c:v>41994</c:v>
                </c:pt>
                <c:pt idx="10">
                  <c:v>42001</c:v>
                </c:pt>
                <c:pt idx="11">
                  <c:v>42008</c:v>
                </c:pt>
                <c:pt idx="12">
                  <c:v>42015</c:v>
                </c:pt>
                <c:pt idx="13">
                  <c:v>42022</c:v>
                </c:pt>
                <c:pt idx="14">
                  <c:v>42029</c:v>
                </c:pt>
                <c:pt idx="15">
                  <c:v>42036</c:v>
                </c:pt>
                <c:pt idx="16">
                  <c:v>42043</c:v>
                </c:pt>
                <c:pt idx="17">
                  <c:v>42050</c:v>
                </c:pt>
                <c:pt idx="18">
                  <c:v>42057</c:v>
                </c:pt>
                <c:pt idx="19">
                  <c:v>42064</c:v>
                </c:pt>
                <c:pt idx="20">
                  <c:v>42071</c:v>
                </c:pt>
                <c:pt idx="21">
                  <c:v>42078</c:v>
                </c:pt>
                <c:pt idx="22">
                  <c:v>42085</c:v>
                </c:pt>
                <c:pt idx="23">
                  <c:v>42092</c:v>
                </c:pt>
                <c:pt idx="24">
                  <c:v>42099</c:v>
                </c:pt>
                <c:pt idx="25">
                  <c:v>42106</c:v>
                </c:pt>
                <c:pt idx="26">
                  <c:v>42113</c:v>
                </c:pt>
                <c:pt idx="27">
                  <c:v>42120</c:v>
                </c:pt>
                <c:pt idx="28">
                  <c:v>42127</c:v>
                </c:pt>
                <c:pt idx="29">
                  <c:v>42134</c:v>
                </c:pt>
                <c:pt idx="30">
                  <c:v>42141</c:v>
                </c:pt>
                <c:pt idx="31">
                  <c:v>42148</c:v>
                </c:pt>
                <c:pt idx="32">
                  <c:v>42155</c:v>
                </c:pt>
                <c:pt idx="33">
                  <c:v>42162</c:v>
                </c:pt>
                <c:pt idx="34">
                  <c:v>42169</c:v>
                </c:pt>
                <c:pt idx="35">
                  <c:v>42176</c:v>
                </c:pt>
                <c:pt idx="36">
                  <c:v>42183</c:v>
                </c:pt>
                <c:pt idx="37">
                  <c:v>42190</c:v>
                </c:pt>
                <c:pt idx="38">
                  <c:v>42197</c:v>
                </c:pt>
                <c:pt idx="39">
                  <c:v>42204</c:v>
                </c:pt>
                <c:pt idx="40">
                  <c:v>42211</c:v>
                </c:pt>
                <c:pt idx="41">
                  <c:v>42218</c:v>
                </c:pt>
                <c:pt idx="42">
                  <c:v>42225</c:v>
                </c:pt>
                <c:pt idx="43">
                  <c:v>42232</c:v>
                </c:pt>
                <c:pt idx="44">
                  <c:v>42239</c:v>
                </c:pt>
                <c:pt idx="45">
                  <c:v>42246</c:v>
                </c:pt>
                <c:pt idx="46">
                  <c:v>42253</c:v>
                </c:pt>
                <c:pt idx="47">
                  <c:v>42260</c:v>
                </c:pt>
                <c:pt idx="48">
                  <c:v>42267</c:v>
                </c:pt>
                <c:pt idx="49">
                  <c:v>42274</c:v>
                </c:pt>
                <c:pt idx="50">
                  <c:v>42281</c:v>
                </c:pt>
                <c:pt idx="51">
                  <c:v>42288</c:v>
                </c:pt>
                <c:pt idx="52">
                  <c:v>42295</c:v>
                </c:pt>
                <c:pt idx="53">
                  <c:v>42302</c:v>
                </c:pt>
                <c:pt idx="54">
                  <c:v>42309</c:v>
                </c:pt>
                <c:pt idx="55">
                  <c:v>42316</c:v>
                </c:pt>
                <c:pt idx="56">
                  <c:v>42323</c:v>
                </c:pt>
                <c:pt idx="57">
                  <c:v>42330</c:v>
                </c:pt>
                <c:pt idx="58">
                  <c:v>42337</c:v>
                </c:pt>
                <c:pt idx="59">
                  <c:v>42344</c:v>
                </c:pt>
                <c:pt idx="60">
                  <c:v>42351</c:v>
                </c:pt>
                <c:pt idx="61">
                  <c:v>42358</c:v>
                </c:pt>
                <c:pt idx="62">
                  <c:v>42365</c:v>
                </c:pt>
                <c:pt idx="63">
                  <c:v>42372</c:v>
                </c:pt>
                <c:pt idx="64">
                  <c:v>42379</c:v>
                </c:pt>
                <c:pt idx="65">
                  <c:v>42386</c:v>
                </c:pt>
                <c:pt idx="66">
                  <c:v>42393</c:v>
                </c:pt>
                <c:pt idx="67">
                  <c:v>42400</c:v>
                </c:pt>
                <c:pt idx="68">
                  <c:v>42407</c:v>
                </c:pt>
                <c:pt idx="69">
                  <c:v>42414</c:v>
                </c:pt>
                <c:pt idx="70">
                  <c:v>42421</c:v>
                </c:pt>
                <c:pt idx="71">
                  <c:v>42428</c:v>
                </c:pt>
                <c:pt idx="72">
                  <c:v>42435</c:v>
                </c:pt>
                <c:pt idx="73">
                  <c:v>42442</c:v>
                </c:pt>
                <c:pt idx="74">
                  <c:v>42449</c:v>
                </c:pt>
                <c:pt idx="75">
                  <c:v>42456</c:v>
                </c:pt>
                <c:pt idx="76">
                  <c:v>42463</c:v>
                </c:pt>
                <c:pt idx="77">
                  <c:v>42470</c:v>
                </c:pt>
                <c:pt idx="78">
                  <c:v>42477</c:v>
                </c:pt>
                <c:pt idx="79">
                  <c:v>42484</c:v>
                </c:pt>
                <c:pt idx="80">
                  <c:v>42491</c:v>
                </c:pt>
                <c:pt idx="81">
                  <c:v>42498</c:v>
                </c:pt>
                <c:pt idx="82">
                  <c:v>42505</c:v>
                </c:pt>
                <c:pt idx="83">
                  <c:v>42512</c:v>
                </c:pt>
                <c:pt idx="84">
                  <c:v>42519</c:v>
                </c:pt>
                <c:pt idx="85">
                  <c:v>42526</c:v>
                </c:pt>
                <c:pt idx="86">
                  <c:v>42533</c:v>
                </c:pt>
                <c:pt idx="87">
                  <c:v>42540</c:v>
                </c:pt>
                <c:pt idx="88">
                  <c:v>42547</c:v>
                </c:pt>
                <c:pt idx="89">
                  <c:v>42554</c:v>
                </c:pt>
                <c:pt idx="90">
                  <c:v>42561</c:v>
                </c:pt>
                <c:pt idx="91">
                  <c:v>42568</c:v>
                </c:pt>
                <c:pt idx="92">
                  <c:v>42575</c:v>
                </c:pt>
                <c:pt idx="93">
                  <c:v>42582</c:v>
                </c:pt>
                <c:pt idx="94">
                  <c:v>42589</c:v>
                </c:pt>
                <c:pt idx="95">
                  <c:v>42596</c:v>
                </c:pt>
                <c:pt idx="96">
                  <c:v>42603</c:v>
                </c:pt>
                <c:pt idx="97">
                  <c:v>42610</c:v>
                </c:pt>
                <c:pt idx="98">
                  <c:v>42617</c:v>
                </c:pt>
                <c:pt idx="99">
                  <c:v>42624</c:v>
                </c:pt>
                <c:pt idx="100">
                  <c:v>42631</c:v>
                </c:pt>
                <c:pt idx="101">
                  <c:v>42638</c:v>
                </c:pt>
                <c:pt idx="102">
                  <c:v>42645</c:v>
                </c:pt>
                <c:pt idx="103">
                  <c:v>42652</c:v>
                </c:pt>
                <c:pt idx="104">
                  <c:v>42659</c:v>
                </c:pt>
                <c:pt idx="105">
                  <c:v>42666</c:v>
                </c:pt>
                <c:pt idx="106">
                  <c:v>42673</c:v>
                </c:pt>
                <c:pt idx="107">
                  <c:v>42680</c:v>
                </c:pt>
                <c:pt idx="108">
                  <c:v>42687</c:v>
                </c:pt>
                <c:pt idx="109">
                  <c:v>42694</c:v>
                </c:pt>
                <c:pt idx="110">
                  <c:v>42701</c:v>
                </c:pt>
                <c:pt idx="111">
                  <c:v>42708</c:v>
                </c:pt>
                <c:pt idx="112">
                  <c:v>42715</c:v>
                </c:pt>
                <c:pt idx="113">
                  <c:v>42722</c:v>
                </c:pt>
                <c:pt idx="114">
                  <c:v>42729</c:v>
                </c:pt>
                <c:pt idx="115">
                  <c:v>42736</c:v>
                </c:pt>
                <c:pt idx="116">
                  <c:v>42743</c:v>
                </c:pt>
                <c:pt idx="117">
                  <c:v>42750</c:v>
                </c:pt>
                <c:pt idx="118">
                  <c:v>42757</c:v>
                </c:pt>
                <c:pt idx="119">
                  <c:v>42764</c:v>
                </c:pt>
                <c:pt idx="120">
                  <c:v>42771</c:v>
                </c:pt>
                <c:pt idx="121">
                  <c:v>42778</c:v>
                </c:pt>
                <c:pt idx="122">
                  <c:v>42785</c:v>
                </c:pt>
                <c:pt idx="123">
                  <c:v>42792</c:v>
                </c:pt>
                <c:pt idx="124">
                  <c:v>42799</c:v>
                </c:pt>
                <c:pt idx="125">
                  <c:v>42806</c:v>
                </c:pt>
                <c:pt idx="126">
                  <c:v>42813</c:v>
                </c:pt>
                <c:pt idx="127">
                  <c:v>42820</c:v>
                </c:pt>
                <c:pt idx="128">
                  <c:v>42827</c:v>
                </c:pt>
                <c:pt idx="129">
                  <c:v>42834</c:v>
                </c:pt>
                <c:pt idx="130">
                  <c:v>42841</c:v>
                </c:pt>
                <c:pt idx="131">
                  <c:v>42848</c:v>
                </c:pt>
                <c:pt idx="132">
                  <c:v>42855</c:v>
                </c:pt>
                <c:pt idx="133">
                  <c:v>42862</c:v>
                </c:pt>
                <c:pt idx="134">
                  <c:v>42869</c:v>
                </c:pt>
                <c:pt idx="135">
                  <c:v>42876</c:v>
                </c:pt>
                <c:pt idx="136">
                  <c:v>42883</c:v>
                </c:pt>
                <c:pt idx="137">
                  <c:v>42890</c:v>
                </c:pt>
                <c:pt idx="138">
                  <c:v>42897</c:v>
                </c:pt>
                <c:pt idx="139">
                  <c:v>42904</c:v>
                </c:pt>
                <c:pt idx="140">
                  <c:v>42911</c:v>
                </c:pt>
                <c:pt idx="141">
                  <c:v>42918</c:v>
                </c:pt>
                <c:pt idx="142">
                  <c:v>42925</c:v>
                </c:pt>
                <c:pt idx="143">
                  <c:v>42932</c:v>
                </c:pt>
                <c:pt idx="144">
                  <c:v>42939</c:v>
                </c:pt>
                <c:pt idx="145">
                  <c:v>42946</c:v>
                </c:pt>
                <c:pt idx="146">
                  <c:v>42953</c:v>
                </c:pt>
                <c:pt idx="147">
                  <c:v>42960</c:v>
                </c:pt>
                <c:pt idx="148">
                  <c:v>42967</c:v>
                </c:pt>
                <c:pt idx="149">
                  <c:v>42974</c:v>
                </c:pt>
                <c:pt idx="150">
                  <c:v>42981</c:v>
                </c:pt>
                <c:pt idx="151">
                  <c:v>42988</c:v>
                </c:pt>
                <c:pt idx="152">
                  <c:v>42995</c:v>
                </c:pt>
                <c:pt idx="153">
                  <c:v>43002</c:v>
                </c:pt>
                <c:pt idx="154">
                  <c:v>43009</c:v>
                </c:pt>
                <c:pt idx="155">
                  <c:v>43016</c:v>
                </c:pt>
                <c:pt idx="156">
                  <c:v>43023</c:v>
                </c:pt>
                <c:pt idx="157">
                  <c:v>43030</c:v>
                </c:pt>
              </c:numCache>
            </c:numRef>
          </c:xVal>
          <c:yVal>
            <c:numRef>
              <c:f>Sheet1!$B$15:$ZZ$15</c:f>
              <c:numCache>
                <c:formatCode>General</c:formatCode>
                <c:ptCount val="701"/>
                <c:pt idx="0">
                  <c:v>1379</c:v>
                </c:pt>
                <c:pt idx="1">
                  <c:v>823</c:v>
                </c:pt>
                <c:pt idx="2">
                  <c:v>981</c:v>
                </c:pt>
                <c:pt idx="3">
                  <c:v>967</c:v>
                </c:pt>
                <c:pt idx="4">
                  <c:v>329</c:v>
                </c:pt>
                <c:pt idx="5">
                  <c:v>2360</c:v>
                </c:pt>
                <c:pt idx="6">
                  <c:v>4105</c:v>
                </c:pt>
                <c:pt idx="7">
                  <c:v>1547</c:v>
                </c:pt>
                <c:pt idx="8">
                  <c:v>1373</c:v>
                </c:pt>
                <c:pt idx="9">
                  <c:v>854</c:v>
                </c:pt>
                <c:pt idx="10">
                  <c:v>559</c:v>
                </c:pt>
                <c:pt idx="11">
                  <c:v>504</c:v>
                </c:pt>
                <c:pt idx="12">
                  <c:v>850</c:v>
                </c:pt>
                <c:pt idx="13">
                  <c:v>815</c:v>
                </c:pt>
                <c:pt idx="14">
                  <c:v>904</c:v>
                </c:pt>
                <c:pt idx="15">
                  <c:v>968</c:v>
                </c:pt>
                <c:pt idx="16">
                  <c:v>932</c:v>
                </c:pt>
                <c:pt idx="17">
                  <c:v>1120</c:v>
                </c:pt>
                <c:pt idx="18">
                  <c:v>2085</c:v>
                </c:pt>
                <c:pt idx="19">
                  <c:v>1104</c:v>
                </c:pt>
                <c:pt idx="20">
                  <c:v>823</c:v>
                </c:pt>
                <c:pt idx="21">
                  <c:v>1212</c:v>
                </c:pt>
                <c:pt idx="22">
                  <c:v>880</c:v>
                </c:pt>
                <c:pt idx="23">
                  <c:v>1090</c:v>
                </c:pt>
                <c:pt idx="24">
                  <c:v>1244</c:v>
                </c:pt>
                <c:pt idx="25">
                  <c:v>865</c:v>
                </c:pt>
                <c:pt idx="26">
                  <c:v>1197</c:v>
                </c:pt>
                <c:pt idx="27">
                  <c:v>1497</c:v>
                </c:pt>
                <c:pt idx="28">
                  <c:v>1079</c:v>
                </c:pt>
                <c:pt idx="29">
                  <c:v>1443</c:v>
                </c:pt>
                <c:pt idx="30">
                  <c:v>1058</c:v>
                </c:pt>
                <c:pt idx="31">
                  <c:v>785</c:v>
                </c:pt>
                <c:pt idx="32">
                  <c:v>702</c:v>
                </c:pt>
                <c:pt idx="33">
                  <c:v>1566</c:v>
                </c:pt>
                <c:pt idx="34">
                  <c:v>956</c:v>
                </c:pt>
                <c:pt idx="35">
                  <c:v>4659</c:v>
                </c:pt>
                <c:pt idx="36">
                  <c:v>997</c:v>
                </c:pt>
                <c:pt idx="37">
                  <c:v>957</c:v>
                </c:pt>
                <c:pt idx="38">
                  <c:v>1175</c:v>
                </c:pt>
                <c:pt idx="39">
                  <c:v>685</c:v>
                </c:pt>
                <c:pt idx="40">
                  <c:v>925</c:v>
                </c:pt>
                <c:pt idx="41">
                  <c:v>544</c:v>
                </c:pt>
                <c:pt idx="42">
                  <c:v>952</c:v>
                </c:pt>
                <c:pt idx="43">
                  <c:v>1985</c:v>
                </c:pt>
                <c:pt idx="44">
                  <c:v>1003</c:v>
                </c:pt>
                <c:pt idx="45">
                  <c:v>1546</c:v>
                </c:pt>
                <c:pt idx="46">
                  <c:v>1060</c:v>
                </c:pt>
                <c:pt idx="47">
                  <c:v>1416</c:v>
                </c:pt>
                <c:pt idx="48">
                  <c:v>1206</c:v>
                </c:pt>
                <c:pt idx="49">
                  <c:v>1117</c:v>
                </c:pt>
                <c:pt idx="50">
                  <c:v>2650</c:v>
                </c:pt>
                <c:pt idx="51">
                  <c:v>900</c:v>
                </c:pt>
                <c:pt idx="52">
                  <c:v>934</c:v>
                </c:pt>
                <c:pt idx="53">
                  <c:v>1139</c:v>
                </c:pt>
                <c:pt idx="54">
                  <c:v>1695</c:v>
                </c:pt>
                <c:pt idx="55">
                  <c:v>1161</c:v>
                </c:pt>
                <c:pt idx="56">
                  <c:v>1174</c:v>
                </c:pt>
                <c:pt idx="57">
                  <c:v>1598</c:v>
                </c:pt>
                <c:pt idx="58">
                  <c:v>1143</c:v>
                </c:pt>
                <c:pt idx="59">
                  <c:v>1651</c:v>
                </c:pt>
                <c:pt idx="60">
                  <c:v>8238</c:v>
                </c:pt>
                <c:pt idx="61">
                  <c:v>2499</c:v>
                </c:pt>
                <c:pt idx="62">
                  <c:v>673</c:v>
                </c:pt>
                <c:pt idx="63">
                  <c:v>473</c:v>
                </c:pt>
                <c:pt idx="64">
                  <c:v>787</c:v>
                </c:pt>
                <c:pt idx="65">
                  <c:v>1096</c:v>
                </c:pt>
                <c:pt idx="66">
                  <c:v>842</c:v>
                </c:pt>
                <c:pt idx="67">
                  <c:v>849</c:v>
                </c:pt>
                <c:pt idx="68">
                  <c:v>920</c:v>
                </c:pt>
                <c:pt idx="69">
                  <c:v>972</c:v>
                </c:pt>
                <c:pt idx="70">
                  <c:v>798</c:v>
                </c:pt>
                <c:pt idx="71">
                  <c:v>921</c:v>
                </c:pt>
                <c:pt idx="72">
                  <c:v>1079</c:v>
                </c:pt>
                <c:pt idx="73">
                  <c:v>1720</c:v>
                </c:pt>
                <c:pt idx="74">
                  <c:v>1159</c:v>
                </c:pt>
                <c:pt idx="75">
                  <c:v>5569</c:v>
                </c:pt>
                <c:pt idx="76">
                  <c:v>1412</c:v>
                </c:pt>
                <c:pt idx="77">
                  <c:v>1193</c:v>
                </c:pt>
                <c:pt idx="78">
                  <c:v>936</c:v>
                </c:pt>
                <c:pt idx="79">
                  <c:v>2329</c:v>
                </c:pt>
                <c:pt idx="80">
                  <c:v>1097</c:v>
                </c:pt>
                <c:pt idx="81">
                  <c:v>913</c:v>
                </c:pt>
                <c:pt idx="82">
                  <c:v>879</c:v>
                </c:pt>
                <c:pt idx="83">
                  <c:v>1199</c:v>
                </c:pt>
                <c:pt idx="84">
                  <c:v>1162</c:v>
                </c:pt>
                <c:pt idx="85">
                  <c:v>996</c:v>
                </c:pt>
                <c:pt idx="86">
                  <c:v>1637</c:v>
                </c:pt>
                <c:pt idx="87">
                  <c:v>960</c:v>
                </c:pt>
                <c:pt idx="88">
                  <c:v>1719</c:v>
                </c:pt>
                <c:pt idx="89">
                  <c:v>844</c:v>
                </c:pt>
                <c:pt idx="90">
                  <c:v>475</c:v>
                </c:pt>
                <c:pt idx="91">
                  <c:v>672</c:v>
                </c:pt>
                <c:pt idx="92">
                  <c:v>386</c:v>
                </c:pt>
                <c:pt idx="93">
                  <c:v>797</c:v>
                </c:pt>
                <c:pt idx="94">
                  <c:v>459</c:v>
                </c:pt>
                <c:pt idx="95">
                  <c:v>879</c:v>
                </c:pt>
                <c:pt idx="96">
                  <c:v>2659</c:v>
                </c:pt>
                <c:pt idx="97">
                  <c:v>992</c:v>
                </c:pt>
                <c:pt idx="98">
                  <c:v>1140</c:v>
                </c:pt>
                <c:pt idx="99">
                  <c:v>1012</c:v>
                </c:pt>
                <c:pt idx="100">
                  <c:v>853</c:v>
                </c:pt>
                <c:pt idx="101">
                  <c:v>892</c:v>
                </c:pt>
                <c:pt idx="102">
                  <c:v>573</c:v>
                </c:pt>
                <c:pt idx="103">
                  <c:v>955</c:v>
                </c:pt>
                <c:pt idx="104">
                  <c:v>929</c:v>
                </c:pt>
                <c:pt idx="105">
                  <c:v>964</c:v>
                </c:pt>
                <c:pt idx="106">
                  <c:v>1073</c:v>
                </c:pt>
                <c:pt idx="107">
                  <c:v>809</c:v>
                </c:pt>
                <c:pt idx="108">
                  <c:v>614</c:v>
                </c:pt>
                <c:pt idx="109">
                  <c:v>995</c:v>
                </c:pt>
                <c:pt idx="110">
                  <c:v>1388</c:v>
                </c:pt>
                <c:pt idx="111">
                  <c:v>508</c:v>
                </c:pt>
                <c:pt idx="112">
                  <c:v>836</c:v>
                </c:pt>
                <c:pt idx="113">
                  <c:v>1096</c:v>
                </c:pt>
                <c:pt idx="114">
                  <c:v>752</c:v>
                </c:pt>
                <c:pt idx="115">
                  <c:v>742</c:v>
                </c:pt>
                <c:pt idx="116">
                  <c:v>877</c:v>
                </c:pt>
                <c:pt idx="117">
                  <c:v>1076</c:v>
                </c:pt>
                <c:pt idx="118">
                  <c:v>631</c:v>
                </c:pt>
                <c:pt idx="119">
                  <c:v>1656</c:v>
                </c:pt>
                <c:pt idx="120">
                  <c:v>925</c:v>
                </c:pt>
                <c:pt idx="121">
                  <c:v>846</c:v>
                </c:pt>
                <c:pt idx="122" formatCode="#,##0">
                  <c:v>870</c:v>
                </c:pt>
                <c:pt idx="123">
                  <c:v>1186</c:v>
                </c:pt>
                <c:pt idx="124">
                  <c:v>851</c:v>
                </c:pt>
                <c:pt idx="125">
                  <c:v>514</c:v>
                </c:pt>
                <c:pt idx="126">
                  <c:v>397</c:v>
                </c:pt>
                <c:pt idx="127">
                  <c:v>410</c:v>
                </c:pt>
                <c:pt idx="128">
                  <c:v>362</c:v>
                </c:pt>
                <c:pt idx="129">
                  <c:v>324</c:v>
                </c:pt>
                <c:pt idx="130">
                  <c:v>838</c:v>
                </c:pt>
                <c:pt idx="131">
                  <c:v>773</c:v>
                </c:pt>
                <c:pt idx="142">
                  <c:v>128</c:v>
                </c:pt>
                <c:pt idx="143">
                  <c:v>988</c:v>
                </c:pt>
                <c:pt idx="144">
                  <c:v>2642</c:v>
                </c:pt>
                <c:pt idx="145">
                  <c:v>1126</c:v>
                </c:pt>
                <c:pt idx="146">
                  <c:v>646</c:v>
                </c:pt>
                <c:pt idx="147">
                  <c:v>753</c:v>
                </c:pt>
                <c:pt idx="148">
                  <c:v>923</c:v>
                </c:pt>
                <c:pt idx="149">
                  <c:v>742</c:v>
                </c:pt>
                <c:pt idx="150">
                  <c:v>1041</c:v>
                </c:pt>
                <c:pt idx="151">
                  <c:v>887</c:v>
                </c:pt>
                <c:pt idx="152">
                  <c:v>828</c:v>
                </c:pt>
                <c:pt idx="153">
                  <c:v>870</c:v>
                </c:pt>
                <c:pt idx="154">
                  <c:v>837</c:v>
                </c:pt>
                <c:pt idx="155">
                  <c:v>1827</c:v>
                </c:pt>
                <c:pt idx="156">
                  <c:v>703</c:v>
                </c:pt>
              </c:numCache>
            </c:numRef>
          </c:yVal>
          <c:smooth val="0"/>
        </c:ser>
        <c:ser>
          <c:idx val="12"/>
          <c:order val="7"/>
          <c:tx>
            <c:v>NED SED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Sheet1!$I$3:$ZZ$3</c:f>
              <c:numCache>
                <c:formatCode>m/d/yyyy</c:formatCode>
                <c:ptCount val="694"/>
                <c:pt idx="0">
                  <c:v>41980</c:v>
                </c:pt>
                <c:pt idx="1">
                  <c:v>41987</c:v>
                </c:pt>
                <c:pt idx="2">
                  <c:v>41994</c:v>
                </c:pt>
                <c:pt idx="3">
                  <c:v>42001</c:v>
                </c:pt>
                <c:pt idx="4">
                  <c:v>42008</c:v>
                </c:pt>
                <c:pt idx="5">
                  <c:v>42015</c:v>
                </c:pt>
                <c:pt idx="6">
                  <c:v>42022</c:v>
                </c:pt>
                <c:pt idx="7">
                  <c:v>42029</c:v>
                </c:pt>
                <c:pt idx="8">
                  <c:v>42036</c:v>
                </c:pt>
                <c:pt idx="9">
                  <c:v>42043</c:v>
                </c:pt>
                <c:pt idx="10">
                  <c:v>42050</c:v>
                </c:pt>
                <c:pt idx="11">
                  <c:v>42057</c:v>
                </c:pt>
                <c:pt idx="12">
                  <c:v>42064</c:v>
                </c:pt>
                <c:pt idx="13">
                  <c:v>42071</c:v>
                </c:pt>
                <c:pt idx="14">
                  <c:v>42078</c:v>
                </c:pt>
                <c:pt idx="15">
                  <c:v>42085</c:v>
                </c:pt>
                <c:pt idx="16">
                  <c:v>42092</c:v>
                </c:pt>
                <c:pt idx="17">
                  <c:v>42099</c:v>
                </c:pt>
                <c:pt idx="18">
                  <c:v>42106</c:v>
                </c:pt>
                <c:pt idx="19">
                  <c:v>42113</c:v>
                </c:pt>
                <c:pt idx="20">
                  <c:v>42120</c:v>
                </c:pt>
                <c:pt idx="21">
                  <c:v>42127</c:v>
                </c:pt>
                <c:pt idx="22">
                  <c:v>42134</c:v>
                </c:pt>
                <c:pt idx="23">
                  <c:v>42141</c:v>
                </c:pt>
                <c:pt idx="24">
                  <c:v>42148</c:v>
                </c:pt>
                <c:pt idx="25">
                  <c:v>42155</c:v>
                </c:pt>
                <c:pt idx="26">
                  <c:v>42162</c:v>
                </c:pt>
                <c:pt idx="27">
                  <c:v>42169</c:v>
                </c:pt>
                <c:pt idx="28">
                  <c:v>42176</c:v>
                </c:pt>
                <c:pt idx="29">
                  <c:v>42183</c:v>
                </c:pt>
                <c:pt idx="30">
                  <c:v>42190</c:v>
                </c:pt>
                <c:pt idx="31">
                  <c:v>42197</c:v>
                </c:pt>
                <c:pt idx="32">
                  <c:v>42204</c:v>
                </c:pt>
                <c:pt idx="33">
                  <c:v>42211</c:v>
                </c:pt>
                <c:pt idx="34">
                  <c:v>42218</c:v>
                </c:pt>
                <c:pt idx="35">
                  <c:v>42225</c:v>
                </c:pt>
                <c:pt idx="36">
                  <c:v>42232</c:v>
                </c:pt>
                <c:pt idx="37">
                  <c:v>42239</c:v>
                </c:pt>
                <c:pt idx="38">
                  <c:v>42246</c:v>
                </c:pt>
                <c:pt idx="39">
                  <c:v>42253</c:v>
                </c:pt>
                <c:pt idx="40">
                  <c:v>42260</c:v>
                </c:pt>
                <c:pt idx="41">
                  <c:v>42267</c:v>
                </c:pt>
                <c:pt idx="42">
                  <c:v>42274</c:v>
                </c:pt>
                <c:pt idx="43">
                  <c:v>42281</c:v>
                </c:pt>
                <c:pt idx="44">
                  <c:v>42288</c:v>
                </c:pt>
                <c:pt idx="45">
                  <c:v>42295</c:v>
                </c:pt>
                <c:pt idx="46">
                  <c:v>42302</c:v>
                </c:pt>
                <c:pt idx="47">
                  <c:v>42309</c:v>
                </c:pt>
                <c:pt idx="48">
                  <c:v>42316</c:v>
                </c:pt>
                <c:pt idx="49">
                  <c:v>42323</c:v>
                </c:pt>
                <c:pt idx="50">
                  <c:v>42330</c:v>
                </c:pt>
                <c:pt idx="51">
                  <c:v>42337</c:v>
                </c:pt>
                <c:pt idx="52">
                  <c:v>42344</c:v>
                </c:pt>
                <c:pt idx="53">
                  <c:v>42351</c:v>
                </c:pt>
                <c:pt idx="54">
                  <c:v>42358</c:v>
                </c:pt>
                <c:pt idx="55">
                  <c:v>42365</c:v>
                </c:pt>
                <c:pt idx="56">
                  <c:v>42372</c:v>
                </c:pt>
                <c:pt idx="57">
                  <c:v>42379</c:v>
                </c:pt>
                <c:pt idx="58">
                  <c:v>42386</c:v>
                </c:pt>
                <c:pt idx="59">
                  <c:v>42393</c:v>
                </c:pt>
                <c:pt idx="60">
                  <c:v>42400</c:v>
                </c:pt>
                <c:pt idx="61">
                  <c:v>42407</c:v>
                </c:pt>
                <c:pt idx="62">
                  <c:v>42414</c:v>
                </c:pt>
                <c:pt idx="63">
                  <c:v>42421</c:v>
                </c:pt>
                <c:pt idx="64">
                  <c:v>42428</c:v>
                </c:pt>
                <c:pt idx="65">
                  <c:v>42435</c:v>
                </c:pt>
                <c:pt idx="66">
                  <c:v>42442</c:v>
                </c:pt>
                <c:pt idx="67">
                  <c:v>42449</c:v>
                </c:pt>
                <c:pt idx="68">
                  <c:v>42456</c:v>
                </c:pt>
                <c:pt idx="69">
                  <c:v>42463</c:v>
                </c:pt>
                <c:pt idx="70">
                  <c:v>42470</c:v>
                </c:pt>
                <c:pt idx="71">
                  <c:v>42477</c:v>
                </c:pt>
                <c:pt idx="72">
                  <c:v>42484</c:v>
                </c:pt>
                <c:pt idx="73">
                  <c:v>42491</c:v>
                </c:pt>
                <c:pt idx="74">
                  <c:v>42498</c:v>
                </c:pt>
                <c:pt idx="75">
                  <c:v>42505</c:v>
                </c:pt>
                <c:pt idx="76">
                  <c:v>42512</c:v>
                </c:pt>
                <c:pt idx="77">
                  <c:v>42519</c:v>
                </c:pt>
                <c:pt idx="78">
                  <c:v>42526</c:v>
                </c:pt>
                <c:pt idx="79">
                  <c:v>42533</c:v>
                </c:pt>
                <c:pt idx="80">
                  <c:v>42540</c:v>
                </c:pt>
                <c:pt idx="81">
                  <c:v>42547</c:v>
                </c:pt>
                <c:pt idx="82">
                  <c:v>42554</c:v>
                </c:pt>
                <c:pt idx="83">
                  <c:v>42561</c:v>
                </c:pt>
                <c:pt idx="84">
                  <c:v>42568</c:v>
                </c:pt>
                <c:pt idx="85">
                  <c:v>42575</c:v>
                </c:pt>
                <c:pt idx="86">
                  <c:v>42582</c:v>
                </c:pt>
                <c:pt idx="87">
                  <c:v>42589</c:v>
                </c:pt>
                <c:pt idx="88">
                  <c:v>42596</c:v>
                </c:pt>
                <c:pt idx="89">
                  <c:v>42603</c:v>
                </c:pt>
                <c:pt idx="90">
                  <c:v>42610</c:v>
                </c:pt>
                <c:pt idx="91">
                  <c:v>42617</c:v>
                </c:pt>
                <c:pt idx="92">
                  <c:v>42624</c:v>
                </c:pt>
                <c:pt idx="93">
                  <c:v>42631</c:v>
                </c:pt>
                <c:pt idx="94">
                  <c:v>42638</c:v>
                </c:pt>
                <c:pt idx="95">
                  <c:v>42645</c:v>
                </c:pt>
                <c:pt idx="96">
                  <c:v>42652</c:v>
                </c:pt>
                <c:pt idx="97">
                  <c:v>42659</c:v>
                </c:pt>
                <c:pt idx="98">
                  <c:v>42666</c:v>
                </c:pt>
                <c:pt idx="99">
                  <c:v>42673</c:v>
                </c:pt>
                <c:pt idx="100">
                  <c:v>42680</c:v>
                </c:pt>
                <c:pt idx="101">
                  <c:v>42687</c:v>
                </c:pt>
                <c:pt idx="102">
                  <c:v>42694</c:v>
                </c:pt>
                <c:pt idx="103">
                  <c:v>42701</c:v>
                </c:pt>
                <c:pt idx="104">
                  <c:v>42708</c:v>
                </c:pt>
                <c:pt idx="105">
                  <c:v>42715</c:v>
                </c:pt>
                <c:pt idx="106">
                  <c:v>42722</c:v>
                </c:pt>
                <c:pt idx="107">
                  <c:v>42729</c:v>
                </c:pt>
                <c:pt idx="108">
                  <c:v>42736</c:v>
                </c:pt>
                <c:pt idx="109">
                  <c:v>42743</c:v>
                </c:pt>
                <c:pt idx="110">
                  <c:v>42750</c:v>
                </c:pt>
                <c:pt idx="111">
                  <c:v>42757</c:v>
                </c:pt>
                <c:pt idx="112">
                  <c:v>42764</c:v>
                </c:pt>
                <c:pt idx="113">
                  <c:v>42771</c:v>
                </c:pt>
                <c:pt idx="114">
                  <c:v>42778</c:v>
                </c:pt>
                <c:pt idx="115">
                  <c:v>42785</c:v>
                </c:pt>
                <c:pt idx="116">
                  <c:v>42792</c:v>
                </c:pt>
                <c:pt idx="117">
                  <c:v>42799</c:v>
                </c:pt>
                <c:pt idx="118">
                  <c:v>42806</c:v>
                </c:pt>
                <c:pt idx="119">
                  <c:v>42813</c:v>
                </c:pt>
                <c:pt idx="120">
                  <c:v>42820</c:v>
                </c:pt>
                <c:pt idx="121">
                  <c:v>42827</c:v>
                </c:pt>
                <c:pt idx="122">
                  <c:v>42834</c:v>
                </c:pt>
                <c:pt idx="123">
                  <c:v>42841</c:v>
                </c:pt>
                <c:pt idx="124">
                  <c:v>42848</c:v>
                </c:pt>
                <c:pt idx="125">
                  <c:v>42855</c:v>
                </c:pt>
                <c:pt idx="126">
                  <c:v>42862</c:v>
                </c:pt>
                <c:pt idx="127">
                  <c:v>42869</c:v>
                </c:pt>
                <c:pt idx="128">
                  <c:v>42876</c:v>
                </c:pt>
                <c:pt idx="129">
                  <c:v>42883</c:v>
                </c:pt>
                <c:pt idx="130">
                  <c:v>42890</c:v>
                </c:pt>
                <c:pt idx="131">
                  <c:v>42897</c:v>
                </c:pt>
                <c:pt idx="132">
                  <c:v>42904</c:v>
                </c:pt>
                <c:pt idx="133">
                  <c:v>42911</c:v>
                </c:pt>
                <c:pt idx="134">
                  <c:v>42918</c:v>
                </c:pt>
                <c:pt idx="135">
                  <c:v>42925</c:v>
                </c:pt>
                <c:pt idx="136">
                  <c:v>42932</c:v>
                </c:pt>
                <c:pt idx="137">
                  <c:v>42939</c:v>
                </c:pt>
                <c:pt idx="138">
                  <c:v>42946</c:v>
                </c:pt>
                <c:pt idx="139">
                  <c:v>42953</c:v>
                </c:pt>
                <c:pt idx="140">
                  <c:v>42960</c:v>
                </c:pt>
                <c:pt idx="141">
                  <c:v>42967</c:v>
                </c:pt>
                <c:pt idx="142">
                  <c:v>42974</c:v>
                </c:pt>
                <c:pt idx="143">
                  <c:v>42981</c:v>
                </c:pt>
                <c:pt idx="144">
                  <c:v>42988</c:v>
                </c:pt>
                <c:pt idx="145">
                  <c:v>42995</c:v>
                </c:pt>
                <c:pt idx="146">
                  <c:v>43002</c:v>
                </c:pt>
                <c:pt idx="147">
                  <c:v>43009</c:v>
                </c:pt>
                <c:pt idx="148">
                  <c:v>43016</c:v>
                </c:pt>
                <c:pt idx="149">
                  <c:v>43023</c:v>
                </c:pt>
                <c:pt idx="150">
                  <c:v>43030</c:v>
                </c:pt>
              </c:numCache>
            </c:numRef>
          </c:xVal>
          <c:yVal>
            <c:numRef>
              <c:f>Sheet1!$I$26:$ZZ$26</c:f>
              <c:numCache>
                <c:formatCode>#,##0</c:formatCode>
                <c:ptCount val="694"/>
                <c:pt idx="0">
                  <c:v>103</c:v>
                </c:pt>
                <c:pt idx="1">
                  <c:v>108</c:v>
                </c:pt>
                <c:pt idx="2">
                  <c:v>96</c:v>
                </c:pt>
                <c:pt idx="3">
                  <c:v>87</c:v>
                </c:pt>
                <c:pt idx="4">
                  <c:v>91</c:v>
                </c:pt>
                <c:pt idx="5">
                  <c:v>194.57142857142858</c:v>
                </c:pt>
                <c:pt idx="6">
                  <c:v>170.28571428571428</c:v>
                </c:pt>
                <c:pt idx="7">
                  <c:v>197.57142857142858</c:v>
                </c:pt>
                <c:pt idx="8">
                  <c:v>208.85714285714286</c:v>
                </c:pt>
                <c:pt idx="9">
                  <c:v>190.85714285714286</c:v>
                </c:pt>
                <c:pt idx="10">
                  <c:v>213.14285714285714</c:v>
                </c:pt>
                <c:pt idx="11">
                  <c:v>221</c:v>
                </c:pt>
                <c:pt idx="12" formatCode="0">
                  <c:v>234.85714285714286</c:v>
                </c:pt>
                <c:pt idx="13" formatCode="0">
                  <c:v>195.85714285714286</c:v>
                </c:pt>
                <c:pt idx="14" formatCode="0">
                  <c:v>225.28571428571428</c:v>
                </c:pt>
                <c:pt idx="15" formatCode="0">
                  <c:v>202.14285714285714</c:v>
                </c:pt>
                <c:pt idx="16" formatCode="0">
                  <c:v>211.28571428571428</c:v>
                </c:pt>
                <c:pt idx="17" formatCode="0">
                  <c:v>219.42857142857142</c:v>
                </c:pt>
                <c:pt idx="18" formatCode="0">
                  <c:v>192.14285714285714</c:v>
                </c:pt>
                <c:pt idx="19" formatCode="0">
                  <c:v>217.57142857142858</c:v>
                </c:pt>
                <c:pt idx="20" formatCode="General">
                  <c:v>248</c:v>
                </c:pt>
                <c:pt idx="21" formatCode="General">
                  <c:v>211</c:v>
                </c:pt>
                <c:pt idx="22" formatCode="General">
                  <c:v>208</c:v>
                </c:pt>
                <c:pt idx="23" formatCode="General">
                  <c:v>221</c:v>
                </c:pt>
                <c:pt idx="24" formatCode="General">
                  <c:v>195</c:v>
                </c:pt>
                <c:pt idx="25" formatCode="General">
                  <c:v>186</c:v>
                </c:pt>
                <c:pt idx="26" formatCode="General">
                  <c:v>182</c:v>
                </c:pt>
                <c:pt idx="27" formatCode="General">
                  <c:v>270</c:v>
                </c:pt>
                <c:pt idx="28" formatCode="General">
                  <c:v>254</c:v>
                </c:pt>
                <c:pt idx="29" formatCode="0">
                  <c:v>233.28571428571428</c:v>
                </c:pt>
                <c:pt idx="30" formatCode="0">
                  <c:v>208.85714285714286</c:v>
                </c:pt>
                <c:pt idx="31" formatCode="0">
                  <c:v>240.71428571428572</c:v>
                </c:pt>
                <c:pt idx="32" formatCode="0">
                  <c:v>166.57142857142858</c:v>
                </c:pt>
                <c:pt idx="33" formatCode="0">
                  <c:v>69.571428571428569</c:v>
                </c:pt>
                <c:pt idx="34" formatCode="0">
                  <c:v>187.71428571428572</c:v>
                </c:pt>
                <c:pt idx="35" formatCode="0">
                  <c:v>59.714285714285715</c:v>
                </c:pt>
                <c:pt idx="36" formatCode="0">
                  <c:v>233</c:v>
                </c:pt>
                <c:pt idx="37" formatCode="0">
                  <c:v>206.85714285714286</c:v>
                </c:pt>
                <c:pt idx="38" formatCode="0">
                  <c:v>251.85714285714286</c:v>
                </c:pt>
                <c:pt idx="39" formatCode="0">
                  <c:v>216.71428571428572</c:v>
                </c:pt>
                <c:pt idx="40" formatCode="0">
                  <c:v>179.14285714285714</c:v>
                </c:pt>
                <c:pt idx="41" formatCode="0">
                  <c:v>219.71428571428572</c:v>
                </c:pt>
                <c:pt idx="42" formatCode="0">
                  <c:v>206.71428571428572</c:v>
                </c:pt>
                <c:pt idx="43" formatCode="0">
                  <c:v>340</c:v>
                </c:pt>
                <c:pt idx="44" formatCode="0">
                  <c:v>189.14285714285714</c:v>
                </c:pt>
                <c:pt idx="45" formatCode="0">
                  <c:v>193</c:v>
                </c:pt>
                <c:pt idx="46" formatCode="0">
                  <c:v>213.28571428571428</c:v>
                </c:pt>
                <c:pt idx="47" formatCode="0">
                  <c:v>189.42857142857142</c:v>
                </c:pt>
                <c:pt idx="48" formatCode="0">
                  <c:v>213.14285714285714</c:v>
                </c:pt>
                <c:pt idx="49" formatCode="0">
                  <c:v>214.42857142857142</c:v>
                </c:pt>
                <c:pt idx="50" formatCode="0">
                  <c:v>252.28571428571428</c:v>
                </c:pt>
                <c:pt idx="51" formatCode="0">
                  <c:v>230.57142857142858</c:v>
                </c:pt>
                <c:pt idx="52" formatCode="0">
                  <c:v>252.57142857142858</c:v>
                </c:pt>
                <c:pt idx="53">
                  <c:v>230</c:v>
                </c:pt>
                <c:pt idx="54">
                  <c:v>234.57142857142858</c:v>
                </c:pt>
                <c:pt idx="55">
                  <c:v>170.28571428571428</c:v>
                </c:pt>
                <c:pt idx="56">
                  <c:v>165.28571428571428</c:v>
                </c:pt>
                <c:pt idx="57">
                  <c:v>192</c:v>
                </c:pt>
                <c:pt idx="58">
                  <c:v>175.71428571428572</c:v>
                </c:pt>
                <c:pt idx="59">
                  <c:v>187.57142857142858</c:v>
                </c:pt>
                <c:pt idx="60">
                  <c:v>196.28571428571428</c:v>
                </c:pt>
                <c:pt idx="61">
                  <c:v>210</c:v>
                </c:pt>
                <c:pt idx="62">
                  <c:v>206.42857142857142</c:v>
                </c:pt>
                <c:pt idx="63">
                  <c:v>181.71428571428572</c:v>
                </c:pt>
                <c:pt idx="64">
                  <c:v>194.85714285714286</c:v>
                </c:pt>
                <c:pt idx="65" formatCode="0">
                  <c:v>226.57142857142858</c:v>
                </c:pt>
                <c:pt idx="66" formatCode="0">
                  <c:v>245.71428571428572</c:v>
                </c:pt>
                <c:pt idx="67">
                  <c:v>220.57142857142858</c:v>
                </c:pt>
                <c:pt idx="68">
                  <c:v>278</c:v>
                </c:pt>
                <c:pt idx="69">
                  <c:v>33722.857142857145</c:v>
                </c:pt>
                <c:pt idx="70">
                  <c:v>219.71428571428572</c:v>
                </c:pt>
                <c:pt idx="71">
                  <c:v>205.85714285714286</c:v>
                </c:pt>
                <c:pt idx="72">
                  <c:v>318.71428571428572</c:v>
                </c:pt>
                <c:pt idx="73">
                  <c:v>204.85714285714286</c:v>
                </c:pt>
                <c:pt idx="74">
                  <c:v>185.42857142857142</c:v>
                </c:pt>
                <c:pt idx="75">
                  <c:v>187.42857142857142</c:v>
                </c:pt>
                <c:pt idx="76" formatCode="0">
                  <c:v>197.85714285714286</c:v>
                </c:pt>
                <c:pt idx="77" formatCode="0">
                  <c:v>236.71428571428572</c:v>
                </c:pt>
                <c:pt idx="78">
                  <c:v>210</c:v>
                </c:pt>
                <c:pt idx="79">
                  <c:v>197.42857142857142</c:v>
                </c:pt>
                <c:pt idx="80">
                  <c:v>201</c:v>
                </c:pt>
                <c:pt idx="81">
                  <c:v>214.71428571428572</c:v>
                </c:pt>
                <c:pt idx="82">
                  <c:v>391.57142857142856</c:v>
                </c:pt>
                <c:pt idx="83">
                  <c:v>104.71428571428571</c:v>
                </c:pt>
                <c:pt idx="84">
                  <c:v>133.14285714285714</c:v>
                </c:pt>
                <c:pt idx="85">
                  <c:v>114.57142857142857</c:v>
                </c:pt>
                <c:pt idx="86">
                  <c:v>395</c:v>
                </c:pt>
                <c:pt idx="87">
                  <c:v>119.57142857142857</c:v>
                </c:pt>
                <c:pt idx="88">
                  <c:v>140.71428571428572</c:v>
                </c:pt>
                <c:pt idx="89">
                  <c:v>132.14285714285714</c:v>
                </c:pt>
                <c:pt idx="90">
                  <c:v>137.14285714285714</c:v>
                </c:pt>
                <c:pt idx="91">
                  <c:v>176.71428571428572</c:v>
                </c:pt>
                <c:pt idx="92">
                  <c:v>151.14285714285714</c:v>
                </c:pt>
                <c:pt idx="93">
                  <c:v>130.57142857142858</c:v>
                </c:pt>
                <c:pt idx="94">
                  <c:v>138.14285714285714</c:v>
                </c:pt>
                <c:pt idx="95">
                  <c:v>142.14285714285714</c:v>
                </c:pt>
                <c:pt idx="96">
                  <c:v>152</c:v>
                </c:pt>
                <c:pt idx="97">
                  <c:v>144.71428571428572</c:v>
                </c:pt>
                <c:pt idx="98">
                  <c:v>151.57142857142858</c:v>
                </c:pt>
                <c:pt idx="99">
                  <c:v>147.14285714285714</c:v>
                </c:pt>
                <c:pt idx="100">
                  <c:v>159.57142857142858</c:v>
                </c:pt>
                <c:pt idx="101">
                  <c:v>124.14285714285714</c:v>
                </c:pt>
                <c:pt idx="102">
                  <c:v>158</c:v>
                </c:pt>
                <c:pt idx="103">
                  <c:v>187.28571428571428</c:v>
                </c:pt>
                <c:pt idx="104">
                  <c:v>188.57142857142858</c:v>
                </c:pt>
                <c:pt idx="105">
                  <c:v>128.14285714285714</c:v>
                </c:pt>
                <c:pt idx="106">
                  <c:v>128.28571428571428</c:v>
                </c:pt>
                <c:pt idx="107">
                  <c:v>124.57142857142857</c:v>
                </c:pt>
                <c:pt idx="108">
                  <c:v>136.85714285714286</c:v>
                </c:pt>
                <c:pt idx="109" formatCode="General">
                  <c:v>16.285714285714285</c:v>
                </c:pt>
                <c:pt idx="110" formatCode="General">
                  <c:v>39</c:v>
                </c:pt>
                <c:pt idx="111" formatCode="0">
                  <c:v>29.285714285714285</c:v>
                </c:pt>
                <c:pt idx="112" formatCode="0">
                  <c:v>14.857142857142858</c:v>
                </c:pt>
                <c:pt idx="113" formatCode="0">
                  <c:v>21.714285714285715</c:v>
                </c:pt>
                <c:pt idx="114" formatCode="0">
                  <c:v>27.142857142857142</c:v>
                </c:pt>
                <c:pt idx="115" formatCode="0">
                  <c:v>22.857142857142858</c:v>
                </c:pt>
                <c:pt idx="116" formatCode="0">
                  <c:v>27.142857142857142</c:v>
                </c:pt>
                <c:pt idx="117" formatCode="0">
                  <c:v>17.714285714285715</c:v>
                </c:pt>
                <c:pt idx="118" formatCode="0">
                  <c:v>15.285714285714286</c:v>
                </c:pt>
                <c:pt idx="119" formatCode="0">
                  <c:v>29.285714285714285</c:v>
                </c:pt>
                <c:pt idx="120" formatCode="0">
                  <c:v>14</c:v>
                </c:pt>
                <c:pt idx="121" formatCode="0">
                  <c:v>24</c:v>
                </c:pt>
                <c:pt idx="122" formatCode="0">
                  <c:v>39.428571428571431</c:v>
                </c:pt>
                <c:pt idx="123" formatCode="0">
                  <c:v>9.8571428571428577</c:v>
                </c:pt>
                <c:pt idx="124" formatCode="0">
                  <c:v>13.571428571428571</c:v>
                </c:pt>
                <c:pt idx="125" formatCode="0">
                  <c:v>78.285714285714292</c:v>
                </c:pt>
                <c:pt idx="126">
                  <c:v>85.857142857142861</c:v>
                </c:pt>
                <c:pt idx="127">
                  <c:v>89.428571428571431</c:v>
                </c:pt>
                <c:pt idx="129" formatCode="0">
                  <c:v>192.85714285714286</c:v>
                </c:pt>
                <c:pt idx="130" formatCode="0">
                  <c:v>120.42857142857143</c:v>
                </c:pt>
                <c:pt idx="131">
                  <c:v>109.28571428571429</c:v>
                </c:pt>
                <c:pt idx="132">
                  <c:v>100</c:v>
                </c:pt>
                <c:pt idx="133">
                  <c:v>111.28571428571429</c:v>
                </c:pt>
                <c:pt idx="134">
                  <c:v>57.571428571428569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72.571428571428569</c:v>
                </c:pt>
                <c:pt idx="139">
                  <c:v>82.857142857142861</c:v>
                </c:pt>
                <c:pt idx="140">
                  <c:v>38.285714285714285</c:v>
                </c:pt>
                <c:pt idx="141">
                  <c:v>93</c:v>
                </c:pt>
                <c:pt idx="142">
                  <c:v>88.428571428571431</c:v>
                </c:pt>
                <c:pt idx="143">
                  <c:v>91</c:v>
                </c:pt>
                <c:pt idx="144">
                  <c:v>92.428571428571431</c:v>
                </c:pt>
                <c:pt idx="145" formatCode="0">
                  <c:v>92</c:v>
                </c:pt>
                <c:pt idx="146" formatCode="0">
                  <c:v>87.142857142857139</c:v>
                </c:pt>
                <c:pt idx="147" formatCode="0">
                  <c:v>90.714285714285708</c:v>
                </c:pt>
              </c:numCache>
            </c:numRef>
          </c:yVal>
          <c:smooth val="0"/>
        </c:ser>
        <c:ser>
          <c:idx val="8"/>
          <c:order val="8"/>
          <c:tx>
            <c:v>MAST Registry</c:v>
          </c:tx>
          <c:spPr>
            <a:ln w="28575">
              <a:noFill/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xVal>
            <c:numRef>
              <c:f>Sheet1!$B$3:$ZZ$3</c:f>
              <c:numCache>
                <c:formatCode>m/d/yyyy</c:formatCode>
                <c:ptCount val="701"/>
                <c:pt idx="0">
                  <c:v>41931</c:v>
                </c:pt>
                <c:pt idx="1">
                  <c:v>41938</c:v>
                </c:pt>
                <c:pt idx="2">
                  <c:v>41945</c:v>
                </c:pt>
                <c:pt idx="3">
                  <c:v>41952</c:v>
                </c:pt>
                <c:pt idx="4">
                  <c:v>41959</c:v>
                </c:pt>
                <c:pt idx="5">
                  <c:v>41966</c:v>
                </c:pt>
                <c:pt idx="6">
                  <c:v>41973</c:v>
                </c:pt>
                <c:pt idx="7">
                  <c:v>41980</c:v>
                </c:pt>
                <c:pt idx="8">
                  <c:v>41987</c:v>
                </c:pt>
                <c:pt idx="9">
                  <c:v>41994</c:v>
                </c:pt>
                <c:pt idx="10">
                  <c:v>42001</c:v>
                </c:pt>
                <c:pt idx="11">
                  <c:v>42008</c:v>
                </c:pt>
                <c:pt idx="12">
                  <c:v>42015</c:v>
                </c:pt>
                <c:pt idx="13">
                  <c:v>42022</c:v>
                </c:pt>
                <c:pt idx="14">
                  <c:v>42029</c:v>
                </c:pt>
                <c:pt idx="15">
                  <c:v>42036</c:v>
                </c:pt>
                <c:pt idx="16">
                  <c:v>42043</c:v>
                </c:pt>
                <c:pt idx="17">
                  <c:v>42050</c:v>
                </c:pt>
                <c:pt idx="18">
                  <c:v>42057</c:v>
                </c:pt>
                <c:pt idx="19">
                  <c:v>42064</c:v>
                </c:pt>
                <c:pt idx="20">
                  <c:v>42071</c:v>
                </c:pt>
                <c:pt idx="21">
                  <c:v>42078</c:v>
                </c:pt>
                <c:pt idx="22">
                  <c:v>42085</c:v>
                </c:pt>
                <c:pt idx="23">
                  <c:v>42092</c:v>
                </c:pt>
                <c:pt idx="24">
                  <c:v>42099</c:v>
                </c:pt>
                <c:pt idx="25">
                  <c:v>42106</c:v>
                </c:pt>
                <c:pt idx="26">
                  <c:v>42113</c:v>
                </c:pt>
                <c:pt idx="27">
                  <c:v>42120</c:v>
                </c:pt>
                <c:pt idx="28">
                  <c:v>42127</c:v>
                </c:pt>
                <c:pt idx="29">
                  <c:v>42134</c:v>
                </c:pt>
                <c:pt idx="30">
                  <c:v>42141</c:v>
                </c:pt>
                <c:pt idx="31">
                  <c:v>42148</c:v>
                </c:pt>
                <c:pt idx="32">
                  <c:v>42155</c:v>
                </c:pt>
                <c:pt idx="33">
                  <c:v>42162</c:v>
                </c:pt>
                <c:pt idx="34">
                  <c:v>42169</c:v>
                </c:pt>
                <c:pt idx="35">
                  <c:v>42176</c:v>
                </c:pt>
                <c:pt idx="36">
                  <c:v>42183</c:v>
                </c:pt>
                <c:pt idx="37">
                  <c:v>42190</c:v>
                </c:pt>
                <c:pt idx="38">
                  <c:v>42197</c:v>
                </c:pt>
                <c:pt idx="39">
                  <c:v>42204</c:v>
                </c:pt>
                <c:pt idx="40">
                  <c:v>42211</c:v>
                </c:pt>
                <c:pt idx="41">
                  <c:v>42218</c:v>
                </c:pt>
                <c:pt idx="42">
                  <c:v>42225</c:v>
                </c:pt>
                <c:pt idx="43">
                  <c:v>42232</c:v>
                </c:pt>
                <c:pt idx="44">
                  <c:v>42239</c:v>
                </c:pt>
                <c:pt idx="45">
                  <c:v>42246</c:v>
                </c:pt>
                <c:pt idx="46">
                  <c:v>42253</c:v>
                </c:pt>
                <c:pt idx="47">
                  <c:v>42260</c:v>
                </c:pt>
                <c:pt idx="48">
                  <c:v>42267</c:v>
                </c:pt>
                <c:pt idx="49">
                  <c:v>42274</c:v>
                </c:pt>
                <c:pt idx="50">
                  <c:v>42281</c:v>
                </c:pt>
                <c:pt idx="51">
                  <c:v>42288</c:v>
                </c:pt>
                <c:pt idx="52">
                  <c:v>42295</c:v>
                </c:pt>
                <c:pt idx="53">
                  <c:v>42302</c:v>
                </c:pt>
                <c:pt idx="54">
                  <c:v>42309</c:v>
                </c:pt>
                <c:pt idx="55">
                  <c:v>42316</c:v>
                </c:pt>
                <c:pt idx="56">
                  <c:v>42323</c:v>
                </c:pt>
                <c:pt idx="57">
                  <c:v>42330</c:v>
                </c:pt>
                <c:pt idx="58">
                  <c:v>42337</c:v>
                </c:pt>
                <c:pt idx="59">
                  <c:v>42344</c:v>
                </c:pt>
                <c:pt idx="60">
                  <c:v>42351</c:v>
                </c:pt>
                <c:pt idx="61">
                  <c:v>42358</c:v>
                </c:pt>
                <c:pt idx="62">
                  <c:v>42365</c:v>
                </c:pt>
                <c:pt idx="63">
                  <c:v>42372</c:v>
                </c:pt>
                <c:pt idx="64">
                  <c:v>42379</c:v>
                </c:pt>
                <c:pt idx="65">
                  <c:v>42386</c:v>
                </c:pt>
                <c:pt idx="66">
                  <c:v>42393</c:v>
                </c:pt>
                <c:pt idx="67">
                  <c:v>42400</c:v>
                </c:pt>
                <c:pt idx="68">
                  <c:v>42407</c:v>
                </c:pt>
                <c:pt idx="69">
                  <c:v>42414</c:v>
                </c:pt>
                <c:pt idx="70">
                  <c:v>42421</c:v>
                </c:pt>
                <c:pt idx="71">
                  <c:v>42428</c:v>
                </c:pt>
                <c:pt idx="72">
                  <c:v>42435</c:v>
                </c:pt>
                <c:pt idx="73">
                  <c:v>42442</c:v>
                </c:pt>
                <c:pt idx="74">
                  <c:v>42449</c:v>
                </c:pt>
                <c:pt idx="75">
                  <c:v>42456</c:v>
                </c:pt>
                <c:pt idx="76">
                  <c:v>42463</c:v>
                </c:pt>
                <c:pt idx="77">
                  <c:v>42470</c:v>
                </c:pt>
                <c:pt idx="78">
                  <c:v>42477</c:v>
                </c:pt>
                <c:pt idx="79">
                  <c:v>42484</c:v>
                </c:pt>
                <c:pt idx="80">
                  <c:v>42491</c:v>
                </c:pt>
                <c:pt idx="81">
                  <c:v>42498</c:v>
                </c:pt>
                <c:pt idx="82">
                  <c:v>42505</c:v>
                </c:pt>
                <c:pt idx="83">
                  <c:v>42512</c:v>
                </c:pt>
                <c:pt idx="84">
                  <c:v>42519</c:v>
                </c:pt>
                <c:pt idx="85">
                  <c:v>42526</c:v>
                </c:pt>
                <c:pt idx="86">
                  <c:v>42533</c:v>
                </c:pt>
                <c:pt idx="87">
                  <c:v>42540</c:v>
                </c:pt>
                <c:pt idx="88">
                  <c:v>42547</c:v>
                </c:pt>
                <c:pt idx="89">
                  <c:v>42554</c:v>
                </c:pt>
                <c:pt idx="90">
                  <c:v>42561</c:v>
                </c:pt>
                <c:pt idx="91">
                  <c:v>42568</c:v>
                </c:pt>
                <c:pt idx="92">
                  <c:v>42575</c:v>
                </c:pt>
                <c:pt idx="93">
                  <c:v>42582</c:v>
                </c:pt>
                <c:pt idx="94">
                  <c:v>42589</c:v>
                </c:pt>
                <c:pt idx="95">
                  <c:v>42596</c:v>
                </c:pt>
                <c:pt idx="96">
                  <c:v>42603</c:v>
                </c:pt>
                <c:pt idx="97">
                  <c:v>42610</c:v>
                </c:pt>
                <c:pt idx="98">
                  <c:v>42617</c:v>
                </c:pt>
                <c:pt idx="99">
                  <c:v>42624</c:v>
                </c:pt>
                <c:pt idx="100">
                  <c:v>42631</c:v>
                </c:pt>
                <c:pt idx="101">
                  <c:v>42638</c:v>
                </c:pt>
                <c:pt idx="102">
                  <c:v>42645</c:v>
                </c:pt>
                <c:pt idx="103">
                  <c:v>42652</c:v>
                </c:pt>
                <c:pt idx="104">
                  <c:v>42659</c:v>
                </c:pt>
                <c:pt idx="105">
                  <c:v>42666</c:v>
                </c:pt>
                <c:pt idx="106">
                  <c:v>42673</c:v>
                </c:pt>
                <c:pt idx="107">
                  <c:v>42680</c:v>
                </c:pt>
                <c:pt idx="108">
                  <c:v>42687</c:v>
                </c:pt>
                <c:pt idx="109">
                  <c:v>42694</c:v>
                </c:pt>
                <c:pt idx="110">
                  <c:v>42701</c:v>
                </c:pt>
                <c:pt idx="111">
                  <c:v>42708</c:v>
                </c:pt>
                <c:pt idx="112">
                  <c:v>42715</c:v>
                </c:pt>
                <c:pt idx="113">
                  <c:v>42722</c:v>
                </c:pt>
                <c:pt idx="114">
                  <c:v>42729</c:v>
                </c:pt>
                <c:pt idx="115">
                  <c:v>42736</c:v>
                </c:pt>
                <c:pt idx="116">
                  <c:v>42743</c:v>
                </c:pt>
                <c:pt idx="117">
                  <c:v>42750</c:v>
                </c:pt>
                <c:pt idx="118">
                  <c:v>42757</c:v>
                </c:pt>
                <c:pt idx="119">
                  <c:v>42764</c:v>
                </c:pt>
                <c:pt idx="120">
                  <c:v>42771</c:v>
                </c:pt>
                <c:pt idx="121">
                  <c:v>42778</c:v>
                </c:pt>
                <c:pt idx="122">
                  <c:v>42785</c:v>
                </c:pt>
                <c:pt idx="123">
                  <c:v>42792</c:v>
                </c:pt>
                <c:pt idx="124">
                  <c:v>42799</c:v>
                </c:pt>
                <c:pt idx="125">
                  <c:v>42806</c:v>
                </c:pt>
                <c:pt idx="126">
                  <c:v>42813</c:v>
                </c:pt>
                <c:pt idx="127">
                  <c:v>42820</c:v>
                </c:pt>
                <c:pt idx="128">
                  <c:v>42827</c:v>
                </c:pt>
                <c:pt idx="129">
                  <c:v>42834</c:v>
                </c:pt>
                <c:pt idx="130">
                  <c:v>42841</c:v>
                </c:pt>
                <c:pt idx="131">
                  <c:v>42848</c:v>
                </c:pt>
                <c:pt idx="132">
                  <c:v>42855</c:v>
                </c:pt>
                <c:pt idx="133">
                  <c:v>42862</c:v>
                </c:pt>
                <c:pt idx="134">
                  <c:v>42869</c:v>
                </c:pt>
                <c:pt idx="135">
                  <c:v>42876</c:v>
                </c:pt>
                <c:pt idx="136">
                  <c:v>42883</c:v>
                </c:pt>
                <c:pt idx="137">
                  <c:v>42890</c:v>
                </c:pt>
                <c:pt idx="138">
                  <c:v>42897</c:v>
                </c:pt>
                <c:pt idx="139">
                  <c:v>42904</c:v>
                </c:pt>
                <c:pt idx="140">
                  <c:v>42911</c:v>
                </c:pt>
                <c:pt idx="141">
                  <c:v>42918</c:v>
                </c:pt>
                <c:pt idx="142">
                  <c:v>42925</c:v>
                </c:pt>
                <c:pt idx="143">
                  <c:v>42932</c:v>
                </c:pt>
                <c:pt idx="144">
                  <c:v>42939</c:v>
                </c:pt>
                <c:pt idx="145">
                  <c:v>42946</c:v>
                </c:pt>
                <c:pt idx="146">
                  <c:v>42953</c:v>
                </c:pt>
                <c:pt idx="147">
                  <c:v>42960</c:v>
                </c:pt>
                <c:pt idx="148">
                  <c:v>42967</c:v>
                </c:pt>
                <c:pt idx="149">
                  <c:v>42974</c:v>
                </c:pt>
                <c:pt idx="150">
                  <c:v>42981</c:v>
                </c:pt>
                <c:pt idx="151">
                  <c:v>42988</c:v>
                </c:pt>
                <c:pt idx="152">
                  <c:v>42995</c:v>
                </c:pt>
                <c:pt idx="153">
                  <c:v>43002</c:v>
                </c:pt>
                <c:pt idx="154">
                  <c:v>43009</c:v>
                </c:pt>
                <c:pt idx="155">
                  <c:v>43016</c:v>
                </c:pt>
                <c:pt idx="156">
                  <c:v>43023</c:v>
                </c:pt>
                <c:pt idx="157">
                  <c:v>43030</c:v>
                </c:pt>
              </c:numCache>
            </c:numRef>
          </c:xVal>
          <c:yVal>
            <c:numRef>
              <c:f>Sheet1!$B$16:$ZZ$16</c:f>
              <c:numCache>
                <c:formatCode>General</c:formatCode>
                <c:ptCount val="701"/>
                <c:pt idx="0">
                  <c:v>1687</c:v>
                </c:pt>
                <c:pt idx="1">
                  <c:v>437</c:v>
                </c:pt>
                <c:pt idx="2">
                  <c:v>400</c:v>
                </c:pt>
                <c:pt idx="3">
                  <c:v>310</c:v>
                </c:pt>
                <c:pt idx="4">
                  <c:v>1390</c:v>
                </c:pt>
                <c:pt idx="5">
                  <c:v>1726</c:v>
                </c:pt>
                <c:pt idx="6">
                  <c:v>1790</c:v>
                </c:pt>
                <c:pt idx="7">
                  <c:v>1512</c:v>
                </c:pt>
                <c:pt idx="8">
                  <c:v>1476</c:v>
                </c:pt>
                <c:pt idx="9">
                  <c:v>1758</c:v>
                </c:pt>
                <c:pt idx="10">
                  <c:v>1420</c:v>
                </c:pt>
                <c:pt idx="11">
                  <c:v>1422</c:v>
                </c:pt>
                <c:pt idx="12">
                  <c:v>1531</c:v>
                </c:pt>
                <c:pt idx="13">
                  <c:v>1497</c:v>
                </c:pt>
                <c:pt idx="14">
                  <c:v>1791</c:v>
                </c:pt>
                <c:pt idx="15">
                  <c:v>724</c:v>
                </c:pt>
                <c:pt idx="16">
                  <c:v>1052</c:v>
                </c:pt>
                <c:pt idx="17">
                  <c:v>977</c:v>
                </c:pt>
                <c:pt idx="18">
                  <c:v>791</c:v>
                </c:pt>
                <c:pt idx="19">
                  <c:v>774</c:v>
                </c:pt>
                <c:pt idx="20">
                  <c:v>745</c:v>
                </c:pt>
                <c:pt idx="21">
                  <c:v>736</c:v>
                </c:pt>
                <c:pt idx="22">
                  <c:v>1076</c:v>
                </c:pt>
                <c:pt idx="23">
                  <c:v>579</c:v>
                </c:pt>
                <c:pt idx="24">
                  <c:v>527</c:v>
                </c:pt>
                <c:pt idx="25">
                  <c:v>402</c:v>
                </c:pt>
                <c:pt idx="26">
                  <c:v>497</c:v>
                </c:pt>
                <c:pt idx="27">
                  <c:v>397</c:v>
                </c:pt>
                <c:pt idx="28">
                  <c:v>351</c:v>
                </c:pt>
                <c:pt idx="29">
                  <c:v>354</c:v>
                </c:pt>
                <c:pt idx="30">
                  <c:v>327</c:v>
                </c:pt>
                <c:pt idx="31">
                  <c:v>216</c:v>
                </c:pt>
                <c:pt idx="32">
                  <c:v>233</c:v>
                </c:pt>
                <c:pt idx="33">
                  <c:v>217</c:v>
                </c:pt>
                <c:pt idx="34">
                  <c:v>130</c:v>
                </c:pt>
                <c:pt idx="35">
                  <c:v>121</c:v>
                </c:pt>
                <c:pt idx="36">
                  <c:v>108</c:v>
                </c:pt>
                <c:pt idx="37">
                  <c:v>122</c:v>
                </c:pt>
                <c:pt idx="38">
                  <c:v>127</c:v>
                </c:pt>
                <c:pt idx="39">
                  <c:v>112</c:v>
                </c:pt>
                <c:pt idx="40">
                  <c:v>118</c:v>
                </c:pt>
                <c:pt idx="41">
                  <c:v>93</c:v>
                </c:pt>
                <c:pt idx="42">
                  <c:v>96</c:v>
                </c:pt>
                <c:pt idx="43">
                  <c:v>94</c:v>
                </c:pt>
                <c:pt idx="44">
                  <c:v>263</c:v>
                </c:pt>
                <c:pt idx="45">
                  <c:v>242</c:v>
                </c:pt>
                <c:pt idx="46">
                  <c:v>96</c:v>
                </c:pt>
                <c:pt idx="47">
                  <c:v>84</c:v>
                </c:pt>
                <c:pt idx="48">
                  <c:v>122</c:v>
                </c:pt>
                <c:pt idx="49">
                  <c:v>104</c:v>
                </c:pt>
                <c:pt idx="50">
                  <c:v>84</c:v>
                </c:pt>
                <c:pt idx="51">
                  <c:v>106</c:v>
                </c:pt>
                <c:pt idx="52">
                  <c:v>110</c:v>
                </c:pt>
                <c:pt idx="53">
                  <c:v>107</c:v>
                </c:pt>
                <c:pt idx="54">
                  <c:v>111</c:v>
                </c:pt>
                <c:pt idx="55">
                  <c:v>100</c:v>
                </c:pt>
                <c:pt idx="56">
                  <c:v>96</c:v>
                </c:pt>
                <c:pt idx="57">
                  <c:v>102</c:v>
                </c:pt>
                <c:pt idx="58">
                  <c:v>85</c:v>
                </c:pt>
                <c:pt idx="59">
                  <c:v>97</c:v>
                </c:pt>
                <c:pt idx="60">
                  <c:v>119</c:v>
                </c:pt>
                <c:pt idx="61">
                  <c:v>104</c:v>
                </c:pt>
                <c:pt idx="62">
                  <c:v>125</c:v>
                </c:pt>
                <c:pt idx="63">
                  <c:v>237</c:v>
                </c:pt>
                <c:pt idx="64">
                  <c:v>153</c:v>
                </c:pt>
                <c:pt idx="65">
                  <c:v>170</c:v>
                </c:pt>
                <c:pt idx="66">
                  <c:v>123</c:v>
                </c:pt>
                <c:pt idx="67">
                  <c:v>280</c:v>
                </c:pt>
                <c:pt idx="68">
                  <c:v>96</c:v>
                </c:pt>
                <c:pt idx="69">
                  <c:v>109</c:v>
                </c:pt>
                <c:pt idx="70">
                  <c:v>93</c:v>
                </c:pt>
                <c:pt idx="71">
                  <c:v>98</c:v>
                </c:pt>
                <c:pt idx="72">
                  <c:v>119</c:v>
                </c:pt>
                <c:pt idx="73">
                  <c:v>122</c:v>
                </c:pt>
                <c:pt idx="74">
                  <c:v>151</c:v>
                </c:pt>
                <c:pt idx="75">
                  <c:v>102</c:v>
                </c:pt>
                <c:pt idx="76">
                  <c:v>154</c:v>
                </c:pt>
                <c:pt idx="77">
                  <c:v>8389</c:v>
                </c:pt>
                <c:pt idx="78">
                  <c:v>121</c:v>
                </c:pt>
                <c:pt idx="79">
                  <c:v>160</c:v>
                </c:pt>
                <c:pt idx="80">
                  <c:v>91</c:v>
                </c:pt>
                <c:pt idx="81">
                  <c:v>117</c:v>
                </c:pt>
                <c:pt idx="82">
                  <c:v>104</c:v>
                </c:pt>
                <c:pt idx="83">
                  <c:v>100</c:v>
                </c:pt>
                <c:pt idx="84">
                  <c:v>89</c:v>
                </c:pt>
                <c:pt idx="85">
                  <c:v>89</c:v>
                </c:pt>
                <c:pt idx="86">
                  <c:v>102</c:v>
                </c:pt>
                <c:pt idx="87">
                  <c:v>109</c:v>
                </c:pt>
                <c:pt idx="88">
                  <c:v>73</c:v>
                </c:pt>
                <c:pt idx="89">
                  <c:v>425</c:v>
                </c:pt>
                <c:pt idx="90">
                  <c:v>77</c:v>
                </c:pt>
                <c:pt idx="91">
                  <c:v>111</c:v>
                </c:pt>
                <c:pt idx="92">
                  <c:v>105</c:v>
                </c:pt>
                <c:pt idx="93">
                  <c:v>113</c:v>
                </c:pt>
                <c:pt idx="94">
                  <c:v>81</c:v>
                </c:pt>
                <c:pt idx="95">
                  <c:v>103</c:v>
                </c:pt>
                <c:pt idx="96">
                  <c:v>64</c:v>
                </c:pt>
                <c:pt idx="97">
                  <c:v>64</c:v>
                </c:pt>
                <c:pt idx="98">
                  <c:v>96</c:v>
                </c:pt>
                <c:pt idx="99">
                  <c:v>93</c:v>
                </c:pt>
                <c:pt idx="100">
                  <c:v>55</c:v>
                </c:pt>
                <c:pt idx="101" formatCode="#,##0">
                  <c:v>0</c:v>
                </c:pt>
                <c:pt idx="102" formatCode="#,##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IRSA Cone</c:v>
          </c:tx>
          <c:spPr>
            <a:ln w="28575">
              <a:noFill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Sheet1!$B$3:$ZZ$3</c:f>
              <c:numCache>
                <c:formatCode>m/d/yyyy</c:formatCode>
                <c:ptCount val="701"/>
                <c:pt idx="0">
                  <c:v>41931</c:v>
                </c:pt>
                <c:pt idx="1">
                  <c:v>41938</c:v>
                </c:pt>
                <c:pt idx="2">
                  <c:v>41945</c:v>
                </c:pt>
                <c:pt idx="3">
                  <c:v>41952</c:v>
                </c:pt>
                <c:pt idx="4">
                  <c:v>41959</c:v>
                </c:pt>
                <c:pt idx="5">
                  <c:v>41966</c:v>
                </c:pt>
                <c:pt idx="6">
                  <c:v>41973</c:v>
                </c:pt>
                <c:pt idx="7">
                  <c:v>41980</c:v>
                </c:pt>
                <c:pt idx="8">
                  <c:v>41987</c:v>
                </c:pt>
                <c:pt idx="9">
                  <c:v>41994</c:v>
                </c:pt>
                <c:pt idx="10">
                  <c:v>42001</c:v>
                </c:pt>
                <c:pt idx="11">
                  <c:v>42008</c:v>
                </c:pt>
                <c:pt idx="12">
                  <c:v>42015</c:v>
                </c:pt>
                <c:pt idx="13">
                  <c:v>42022</c:v>
                </c:pt>
                <c:pt idx="14">
                  <c:v>42029</c:v>
                </c:pt>
                <c:pt idx="15">
                  <c:v>42036</c:v>
                </c:pt>
                <c:pt idx="16">
                  <c:v>42043</c:v>
                </c:pt>
                <c:pt idx="17">
                  <c:v>42050</c:v>
                </c:pt>
                <c:pt idx="18">
                  <c:v>42057</c:v>
                </c:pt>
                <c:pt idx="19">
                  <c:v>42064</c:v>
                </c:pt>
                <c:pt idx="20">
                  <c:v>42071</c:v>
                </c:pt>
                <c:pt idx="21">
                  <c:v>42078</c:v>
                </c:pt>
                <c:pt idx="22">
                  <c:v>42085</c:v>
                </c:pt>
                <c:pt idx="23">
                  <c:v>42092</c:v>
                </c:pt>
                <c:pt idx="24">
                  <c:v>42099</c:v>
                </c:pt>
                <c:pt idx="25">
                  <c:v>42106</c:v>
                </c:pt>
                <c:pt idx="26">
                  <c:v>42113</c:v>
                </c:pt>
                <c:pt idx="27">
                  <c:v>42120</c:v>
                </c:pt>
                <c:pt idx="28">
                  <c:v>42127</c:v>
                </c:pt>
                <c:pt idx="29">
                  <c:v>42134</c:v>
                </c:pt>
                <c:pt idx="30">
                  <c:v>42141</c:v>
                </c:pt>
                <c:pt idx="31">
                  <c:v>42148</c:v>
                </c:pt>
                <c:pt idx="32">
                  <c:v>42155</c:v>
                </c:pt>
                <c:pt idx="33">
                  <c:v>42162</c:v>
                </c:pt>
                <c:pt idx="34">
                  <c:v>42169</c:v>
                </c:pt>
                <c:pt idx="35">
                  <c:v>42176</c:v>
                </c:pt>
                <c:pt idx="36">
                  <c:v>42183</c:v>
                </c:pt>
                <c:pt idx="37">
                  <c:v>42190</c:v>
                </c:pt>
                <c:pt idx="38">
                  <c:v>42197</c:v>
                </c:pt>
                <c:pt idx="39">
                  <c:v>42204</c:v>
                </c:pt>
                <c:pt idx="40">
                  <c:v>42211</c:v>
                </c:pt>
                <c:pt idx="41">
                  <c:v>42218</c:v>
                </c:pt>
                <c:pt idx="42">
                  <c:v>42225</c:v>
                </c:pt>
                <c:pt idx="43">
                  <c:v>42232</c:v>
                </c:pt>
                <c:pt idx="44">
                  <c:v>42239</c:v>
                </c:pt>
                <c:pt idx="45">
                  <c:v>42246</c:v>
                </c:pt>
                <c:pt idx="46">
                  <c:v>42253</c:v>
                </c:pt>
                <c:pt idx="47">
                  <c:v>42260</c:v>
                </c:pt>
                <c:pt idx="48">
                  <c:v>42267</c:v>
                </c:pt>
                <c:pt idx="49">
                  <c:v>42274</c:v>
                </c:pt>
                <c:pt idx="50">
                  <c:v>42281</c:v>
                </c:pt>
                <c:pt idx="51">
                  <c:v>42288</c:v>
                </c:pt>
                <c:pt idx="52">
                  <c:v>42295</c:v>
                </c:pt>
                <c:pt idx="53">
                  <c:v>42302</c:v>
                </c:pt>
                <c:pt idx="54">
                  <c:v>42309</c:v>
                </c:pt>
                <c:pt idx="55">
                  <c:v>42316</c:v>
                </c:pt>
                <c:pt idx="56">
                  <c:v>42323</c:v>
                </c:pt>
                <c:pt idx="57">
                  <c:v>42330</c:v>
                </c:pt>
                <c:pt idx="58">
                  <c:v>42337</c:v>
                </c:pt>
                <c:pt idx="59">
                  <c:v>42344</c:v>
                </c:pt>
                <c:pt idx="60">
                  <c:v>42351</c:v>
                </c:pt>
                <c:pt idx="61">
                  <c:v>42358</c:v>
                </c:pt>
                <c:pt idx="62">
                  <c:v>42365</c:v>
                </c:pt>
                <c:pt idx="63">
                  <c:v>42372</c:v>
                </c:pt>
                <c:pt idx="64">
                  <c:v>42379</c:v>
                </c:pt>
                <c:pt idx="65">
                  <c:v>42386</c:v>
                </c:pt>
                <c:pt idx="66">
                  <c:v>42393</c:v>
                </c:pt>
                <c:pt idx="67">
                  <c:v>42400</c:v>
                </c:pt>
                <c:pt idx="68">
                  <c:v>42407</c:v>
                </c:pt>
                <c:pt idx="69">
                  <c:v>42414</c:v>
                </c:pt>
                <c:pt idx="70">
                  <c:v>42421</c:v>
                </c:pt>
                <c:pt idx="71">
                  <c:v>42428</c:v>
                </c:pt>
                <c:pt idx="72">
                  <c:v>42435</c:v>
                </c:pt>
                <c:pt idx="73">
                  <c:v>42442</c:v>
                </c:pt>
                <c:pt idx="74">
                  <c:v>42449</c:v>
                </c:pt>
                <c:pt idx="75">
                  <c:v>42456</c:v>
                </c:pt>
                <c:pt idx="76">
                  <c:v>42463</c:v>
                </c:pt>
                <c:pt idx="77">
                  <c:v>42470</c:v>
                </c:pt>
                <c:pt idx="78">
                  <c:v>42477</c:v>
                </c:pt>
                <c:pt idx="79">
                  <c:v>42484</c:v>
                </c:pt>
                <c:pt idx="80">
                  <c:v>42491</c:v>
                </c:pt>
                <c:pt idx="81">
                  <c:v>42498</c:v>
                </c:pt>
                <c:pt idx="82">
                  <c:v>42505</c:v>
                </c:pt>
                <c:pt idx="83">
                  <c:v>42512</c:v>
                </c:pt>
                <c:pt idx="84">
                  <c:v>42519</c:v>
                </c:pt>
                <c:pt idx="85">
                  <c:v>42526</c:v>
                </c:pt>
                <c:pt idx="86">
                  <c:v>42533</c:v>
                </c:pt>
                <c:pt idx="87">
                  <c:v>42540</c:v>
                </c:pt>
                <c:pt idx="88">
                  <c:v>42547</c:v>
                </c:pt>
                <c:pt idx="89">
                  <c:v>42554</c:v>
                </c:pt>
                <c:pt idx="90">
                  <c:v>42561</c:v>
                </c:pt>
                <c:pt idx="91">
                  <c:v>42568</c:v>
                </c:pt>
                <c:pt idx="92">
                  <c:v>42575</c:v>
                </c:pt>
                <c:pt idx="93">
                  <c:v>42582</c:v>
                </c:pt>
                <c:pt idx="94">
                  <c:v>42589</c:v>
                </c:pt>
                <c:pt idx="95">
                  <c:v>42596</c:v>
                </c:pt>
                <c:pt idx="96">
                  <c:v>42603</c:v>
                </c:pt>
                <c:pt idx="97">
                  <c:v>42610</c:v>
                </c:pt>
                <c:pt idx="98">
                  <c:v>42617</c:v>
                </c:pt>
                <c:pt idx="99">
                  <c:v>42624</c:v>
                </c:pt>
                <c:pt idx="100">
                  <c:v>42631</c:v>
                </c:pt>
                <c:pt idx="101">
                  <c:v>42638</c:v>
                </c:pt>
                <c:pt idx="102">
                  <c:v>42645</c:v>
                </c:pt>
                <c:pt idx="103">
                  <c:v>42652</c:v>
                </c:pt>
                <c:pt idx="104">
                  <c:v>42659</c:v>
                </c:pt>
                <c:pt idx="105">
                  <c:v>42666</c:v>
                </c:pt>
                <c:pt idx="106">
                  <c:v>42673</c:v>
                </c:pt>
                <c:pt idx="107">
                  <c:v>42680</c:v>
                </c:pt>
                <c:pt idx="108">
                  <c:v>42687</c:v>
                </c:pt>
                <c:pt idx="109">
                  <c:v>42694</c:v>
                </c:pt>
                <c:pt idx="110">
                  <c:v>42701</c:v>
                </c:pt>
                <c:pt idx="111">
                  <c:v>42708</c:v>
                </c:pt>
                <c:pt idx="112">
                  <c:v>42715</c:v>
                </c:pt>
                <c:pt idx="113">
                  <c:v>42722</c:v>
                </c:pt>
                <c:pt idx="114">
                  <c:v>42729</c:v>
                </c:pt>
                <c:pt idx="115">
                  <c:v>42736</c:v>
                </c:pt>
                <c:pt idx="116">
                  <c:v>42743</c:v>
                </c:pt>
                <c:pt idx="117">
                  <c:v>42750</c:v>
                </c:pt>
                <c:pt idx="118">
                  <c:v>42757</c:v>
                </c:pt>
                <c:pt idx="119">
                  <c:v>42764</c:v>
                </c:pt>
                <c:pt idx="120">
                  <c:v>42771</c:v>
                </c:pt>
                <c:pt idx="121">
                  <c:v>42778</c:v>
                </c:pt>
                <c:pt idx="122">
                  <c:v>42785</c:v>
                </c:pt>
                <c:pt idx="123">
                  <c:v>42792</c:v>
                </c:pt>
                <c:pt idx="124">
                  <c:v>42799</c:v>
                </c:pt>
                <c:pt idx="125">
                  <c:v>42806</c:v>
                </c:pt>
                <c:pt idx="126">
                  <c:v>42813</c:v>
                </c:pt>
                <c:pt idx="127">
                  <c:v>42820</c:v>
                </c:pt>
                <c:pt idx="128">
                  <c:v>42827</c:v>
                </c:pt>
                <c:pt idx="129">
                  <c:v>42834</c:v>
                </c:pt>
                <c:pt idx="130">
                  <c:v>42841</c:v>
                </c:pt>
                <c:pt idx="131">
                  <c:v>42848</c:v>
                </c:pt>
                <c:pt idx="132">
                  <c:v>42855</c:v>
                </c:pt>
                <c:pt idx="133">
                  <c:v>42862</c:v>
                </c:pt>
                <c:pt idx="134">
                  <c:v>42869</c:v>
                </c:pt>
                <c:pt idx="135">
                  <c:v>42876</c:v>
                </c:pt>
                <c:pt idx="136">
                  <c:v>42883</c:v>
                </c:pt>
                <c:pt idx="137">
                  <c:v>42890</c:v>
                </c:pt>
                <c:pt idx="138">
                  <c:v>42897</c:v>
                </c:pt>
                <c:pt idx="139">
                  <c:v>42904</c:v>
                </c:pt>
                <c:pt idx="140">
                  <c:v>42911</c:v>
                </c:pt>
                <c:pt idx="141">
                  <c:v>42918</c:v>
                </c:pt>
                <c:pt idx="142">
                  <c:v>42925</c:v>
                </c:pt>
                <c:pt idx="143">
                  <c:v>42932</c:v>
                </c:pt>
                <c:pt idx="144">
                  <c:v>42939</c:v>
                </c:pt>
                <c:pt idx="145">
                  <c:v>42946</c:v>
                </c:pt>
                <c:pt idx="146">
                  <c:v>42953</c:v>
                </c:pt>
                <c:pt idx="147">
                  <c:v>42960</c:v>
                </c:pt>
                <c:pt idx="148">
                  <c:v>42967</c:v>
                </c:pt>
                <c:pt idx="149">
                  <c:v>42974</c:v>
                </c:pt>
                <c:pt idx="150">
                  <c:v>42981</c:v>
                </c:pt>
                <c:pt idx="151">
                  <c:v>42988</c:v>
                </c:pt>
                <c:pt idx="152">
                  <c:v>42995</c:v>
                </c:pt>
                <c:pt idx="153">
                  <c:v>43002</c:v>
                </c:pt>
                <c:pt idx="154">
                  <c:v>43009</c:v>
                </c:pt>
                <c:pt idx="155">
                  <c:v>43016</c:v>
                </c:pt>
                <c:pt idx="156">
                  <c:v>43023</c:v>
                </c:pt>
                <c:pt idx="157">
                  <c:v>43030</c:v>
                </c:pt>
              </c:numCache>
            </c:numRef>
          </c:xVal>
          <c:yVal>
            <c:numRef>
              <c:f>Sheet1!$B$19:$ZZ$19</c:f>
              <c:numCache>
                <c:formatCode>#,##0</c:formatCode>
                <c:ptCount val="701"/>
                <c:pt idx="0">
                  <c:v>66</c:v>
                </c:pt>
                <c:pt idx="1">
                  <c:v>65</c:v>
                </c:pt>
                <c:pt idx="2">
                  <c:v>62</c:v>
                </c:pt>
                <c:pt idx="3">
                  <c:v>86</c:v>
                </c:pt>
                <c:pt idx="4">
                  <c:v>164</c:v>
                </c:pt>
                <c:pt idx="5">
                  <c:v>218</c:v>
                </c:pt>
                <c:pt idx="6">
                  <c:v>157</c:v>
                </c:pt>
                <c:pt idx="7">
                  <c:v>111</c:v>
                </c:pt>
                <c:pt idx="8">
                  <c:v>83</c:v>
                </c:pt>
                <c:pt idx="9">
                  <c:v>59</c:v>
                </c:pt>
                <c:pt idx="10">
                  <c:v>52</c:v>
                </c:pt>
                <c:pt idx="11">
                  <c:v>57</c:v>
                </c:pt>
                <c:pt idx="12">
                  <c:v>52</c:v>
                </c:pt>
                <c:pt idx="13">
                  <c:v>374</c:v>
                </c:pt>
                <c:pt idx="14">
                  <c:v>598</c:v>
                </c:pt>
                <c:pt idx="15">
                  <c:v>380</c:v>
                </c:pt>
                <c:pt idx="16">
                  <c:v>175</c:v>
                </c:pt>
                <c:pt idx="17">
                  <c:v>246</c:v>
                </c:pt>
                <c:pt idx="18">
                  <c:v>397</c:v>
                </c:pt>
                <c:pt idx="19">
                  <c:v>852</c:v>
                </c:pt>
                <c:pt idx="20">
                  <c:v>2727</c:v>
                </c:pt>
                <c:pt idx="21">
                  <c:v>4469</c:v>
                </c:pt>
                <c:pt idx="22">
                  <c:v>3850</c:v>
                </c:pt>
                <c:pt idx="23">
                  <c:v>4611</c:v>
                </c:pt>
                <c:pt idx="24">
                  <c:v>5488</c:v>
                </c:pt>
                <c:pt idx="25">
                  <c:v>6205</c:v>
                </c:pt>
                <c:pt idx="26">
                  <c:v>5469</c:v>
                </c:pt>
                <c:pt idx="27">
                  <c:v>9817</c:v>
                </c:pt>
                <c:pt idx="28">
                  <c:v>9227</c:v>
                </c:pt>
                <c:pt idx="29">
                  <c:v>7119</c:v>
                </c:pt>
                <c:pt idx="30">
                  <c:v>7308</c:v>
                </c:pt>
                <c:pt idx="31">
                  <c:v>9862</c:v>
                </c:pt>
                <c:pt idx="32">
                  <c:v>18904</c:v>
                </c:pt>
                <c:pt idx="33">
                  <c:v>9821</c:v>
                </c:pt>
                <c:pt idx="34">
                  <c:v>7005</c:v>
                </c:pt>
                <c:pt idx="35">
                  <c:v>8517</c:v>
                </c:pt>
                <c:pt idx="36">
                  <c:v>7357</c:v>
                </c:pt>
                <c:pt idx="37">
                  <c:v>7001</c:v>
                </c:pt>
                <c:pt idx="38">
                  <c:v>8905</c:v>
                </c:pt>
                <c:pt idx="39">
                  <c:v>8595</c:v>
                </c:pt>
                <c:pt idx="40">
                  <c:v>9831</c:v>
                </c:pt>
                <c:pt idx="41">
                  <c:v>54617</c:v>
                </c:pt>
                <c:pt idx="42">
                  <c:v>8531</c:v>
                </c:pt>
                <c:pt idx="43">
                  <c:v>12142</c:v>
                </c:pt>
                <c:pt idx="44">
                  <c:v>7700</c:v>
                </c:pt>
                <c:pt idx="45">
                  <c:v>6861</c:v>
                </c:pt>
                <c:pt idx="46">
                  <c:v>35733</c:v>
                </c:pt>
                <c:pt idx="47">
                  <c:v>5615</c:v>
                </c:pt>
                <c:pt idx="48">
                  <c:v>28721</c:v>
                </c:pt>
                <c:pt idx="49">
                  <c:v>16156</c:v>
                </c:pt>
                <c:pt idx="50">
                  <c:v>33006</c:v>
                </c:pt>
                <c:pt idx="51">
                  <c:v>12433</c:v>
                </c:pt>
                <c:pt idx="52">
                  <c:v>18827</c:v>
                </c:pt>
                <c:pt idx="53">
                  <c:v>14757</c:v>
                </c:pt>
                <c:pt idx="54">
                  <c:v>10535</c:v>
                </c:pt>
                <c:pt idx="55">
                  <c:v>32114</c:v>
                </c:pt>
                <c:pt idx="56">
                  <c:v>26967</c:v>
                </c:pt>
                <c:pt idx="57">
                  <c:v>15905</c:v>
                </c:pt>
                <c:pt idx="58">
                  <c:v>39484</c:v>
                </c:pt>
                <c:pt idx="59">
                  <c:v>16907</c:v>
                </c:pt>
                <c:pt idx="60">
                  <c:v>11379</c:v>
                </c:pt>
                <c:pt idx="61">
                  <c:v>7317</c:v>
                </c:pt>
                <c:pt idx="62">
                  <c:v>9810</c:v>
                </c:pt>
                <c:pt idx="63">
                  <c:v>16579</c:v>
                </c:pt>
                <c:pt idx="64">
                  <c:v>24279</c:v>
                </c:pt>
                <c:pt idx="65">
                  <c:v>63132</c:v>
                </c:pt>
                <c:pt idx="66">
                  <c:v>34676</c:v>
                </c:pt>
                <c:pt idx="67">
                  <c:v>6786</c:v>
                </c:pt>
                <c:pt idx="68">
                  <c:v>6773</c:v>
                </c:pt>
                <c:pt idx="69">
                  <c:v>8210</c:v>
                </c:pt>
                <c:pt idx="70">
                  <c:v>16050</c:v>
                </c:pt>
                <c:pt idx="71">
                  <c:v>209662</c:v>
                </c:pt>
                <c:pt idx="72">
                  <c:v>275461</c:v>
                </c:pt>
                <c:pt idx="73">
                  <c:v>181792</c:v>
                </c:pt>
                <c:pt idx="74">
                  <c:v>43756</c:v>
                </c:pt>
                <c:pt idx="75">
                  <c:v>13431</c:v>
                </c:pt>
                <c:pt idx="76">
                  <c:v>30115</c:v>
                </c:pt>
                <c:pt idx="77">
                  <c:v>37257</c:v>
                </c:pt>
                <c:pt idx="78">
                  <c:v>39418</c:v>
                </c:pt>
                <c:pt idx="79">
                  <c:v>103220</c:v>
                </c:pt>
                <c:pt idx="80">
                  <c:v>242184</c:v>
                </c:pt>
                <c:pt idx="81">
                  <c:v>172564</c:v>
                </c:pt>
                <c:pt idx="82">
                  <c:v>9727</c:v>
                </c:pt>
                <c:pt idx="83">
                  <c:v>25265</c:v>
                </c:pt>
                <c:pt idx="84">
                  <c:v>3441</c:v>
                </c:pt>
                <c:pt idx="85">
                  <c:v>99899</c:v>
                </c:pt>
                <c:pt idx="86">
                  <c:v>2470</c:v>
                </c:pt>
                <c:pt idx="87">
                  <c:v>25692</c:v>
                </c:pt>
                <c:pt idx="88">
                  <c:v>2319</c:v>
                </c:pt>
                <c:pt idx="89">
                  <c:v>1411</c:v>
                </c:pt>
                <c:pt idx="90">
                  <c:v>2371</c:v>
                </c:pt>
                <c:pt idx="91">
                  <c:v>618</c:v>
                </c:pt>
                <c:pt idx="92">
                  <c:v>29932</c:v>
                </c:pt>
                <c:pt idx="93">
                  <c:v>11290</c:v>
                </c:pt>
                <c:pt idx="94">
                  <c:v>8040</c:v>
                </c:pt>
                <c:pt idx="95" formatCode="General">
                  <c:v>646</c:v>
                </c:pt>
                <c:pt idx="96">
                  <c:v>659</c:v>
                </c:pt>
                <c:pt idx="97">
                  <c:v>890</c:v>
                </c:pt>
                <c:pt idx="98">
                  <c:v>701</c:v>
                </c:pt>
                <c:pt idx="99">
                  <c:v>32094</c:v>
                </c:pt>
                <c:pt idx="100">
                  <c:v>16905</c:v>
                </c:pt>
                <c:pt idx="101">
                  <c:v>8448</c:v>
                </c:pt>
                <c:pt idx="102">
                  <c:v>1339</c:v>
                </c:pt>
                <c:pt idx="103">
                  <c:v>2701</c:v>
                </c:pt>
                <c:pt idx="104">
                  <c:v>1774</c:v>
                </c:pt>
                <c:pt idx="105" formatCode="General">
                  <c:v>956</c:v>
                </c:pt>
                <c:pt idx="106">
                  <c:v>2552</c:v>
                </c:pt>
                <c:pt idx="107">
                  <c:v>9660</c:v>
                </c:pt>
                <c:pt idx="108">
                  <c:v>1474</c:v>
                </c:pt>
                <c:pt idx="109">
                  <c:v>1030</c:v>
                </c:pt>
                <c:pt idx="110">
                  <c:v>16392</c:v>
                </c:pt>
                <c:pt idx="111">
                  <c:v>20646</c:v>
                </c:pt>
                <c:pt idx="112">
                  <c:v>4215</c:v>
                </c:pt>
                <c:pt idx="113">
                  <c:v>2753</c:v>
                </c:pt>
                <c:pt idx="114">
                  <c:v>763</c:v>
                </c:pt>
                <c:pt idx="115">
                  <c:v>720</c:v>
                </c:pt>
                <c:pt idx="116">
                  <c:v>3518</c:v>
                </c:pt>
                <c:pt idx="117">
                  <c:v>1584</c:v>
                </c:pt>
                <c:pt idx="118">
                  <c:v>1382</c:v>
                </c:pt>
                <c:pt idx="119">
                  <c:v>6775</c:v>
                </c:pt>
                <c:pt idx="120">
                  <c:v>1420</c:v>
                </c:pt>
                <c:pt idx="121">
                  <c:v>3244</c:v>
                </c:pt>
                <c:pt idx="122">
                  <c:v>4101</c:v>
                </c:pt>
                <c:pt idx="123">
                  <c:v>3747</c:v>
                </c:pt>
                <c:pt idx="124">
                  <c:v>4381</c:v>
                </c:pt>
                <c:pt idx="125">
                  <c:v>1353</c:v>
                </c:pt>
                <c:pt idx="126">
                  <c:v>1207</c:v>
                </c:pt>
                <c:pt idx="127">
                  <c:v>1088</c:v>
                </c:pt>
                <c:pt idx="128">
                  <c:v>1716</c:v>
                </c:pt>
                <c:pt idx="129">
                  <c:v>13214</c:v>
                </c:pt>
                <c:pt idx="130">
                  <c:v>831</c:v>
                </c:pt>
                <c:pt idx="132">
                  <c:v>1601</c:v>
                </c:pt>
                <c:pt idx="133">
                  <c:v>1145</c:v>
                </c:pt>
                <c:pt idx="134">
                  <c:v>563</c:v>
                </c:pt>
                <c:pt idx="135">
                  <c:v>1275</c:v>
                </c:pt>
                <c:pt idx="136">
                  <c:v>3265</c:v>
                </c:pt>
                <c:pt idx="137">
                  <c:v>1729</c:v>
                </c:pt>
                <c:pt idx="138">
                  <c:v>291</c:v>
                </c:pt>
                <c:pt idx="139">
                  <c:v>2581</c:v>
                </c:pt>
                <c:pt idx="140">
                  <c:v>3435</c:v>
                </c:pt>
                <c:pt idx="141">
                  <c:v>18851</c:v>
                </c:pt>
                <c:pt idx="142">
                  <c:v>684</c:v>
                </c:pt>
                <c:pt idx="143">
                  <c:v>185668</c:v>
                </c:pt>
                <c:pt idx="144">
                  <c:v>255529</c:v>
                </c:pt>
                <c:pt idx="145">
                  <c:v>15612</c:v>
                </c:pt>
                <c:pt idx="146">
                  <c:v>1409</c:v>
                </c:pt>
                <c:pt idx="147">
                  <c:v>4526</c:v>
                </c:pt>
                <c:pt idx="148">
                  <c:v>107723</c:v>
                </c:pt>
                <c:pt idx="149">
                  <c:v>1948</c:v>
                </c:pt>
                <c:pt idx="150">
                  <c:v>7480</c:v>
                </c:pt>
                <c:pt idx="151">
                  <c:v>3130</c:v>
                </c:pt>
                <c:pt idx="152">
                  <c:v>7464</c:v>
                </c:pt>
                <c:pt idx="153">
                  <c:v>1885</c:v>
                </c:pt>
                <c:pt idx="154">
                  <c:v>2618</c:v>
                </c:pt>
                <c:pt idx="155">
                  <c:v>2449</c:v>
                </c:pt>
              </c:numCache>
            </c:numRef>
          </c:yVal>
          <c:smooth val="0"/>
        </c:ser>
        <c:ser>
          <c:idx val="10"/>
          <c:order val="10"/>
          <c:tx>
            <c:v>IRSA SIAP</c:v>
          </c:tx>
          <c:spPr>
            <a:ln w="28575">
              <a:noFill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Sheet1!$B$3:$ZZ$3</c:f>
              <c:numCache>
                <c:formatCode>m/d/yyyy</c:formatCode>
                <c:ptCount val="701"/>
                <c:pt idx="0">
                  <c:v>41931</c:v>
                </c:pt>
                <c:pt idx="1">
                  <c:v>41938</c:v>
                </c:pt>
                <c:pt idx="2">
                  <c:v>41945</c:v>
                </c:pt>
                <c:pt idx="3">
                  <c:v>41952</c:v>
                </c:pt>
                <c:pt idx="4">
                  <c:v>41959</c:v>
                </c:pt>
                <c:pt idx="5">
                  <c:v>41966</c:v>
                </c:pt>
                <c:pt idx="6">
                  <c:v>41973</c:v>
                </c:pt>
                <c:pt idx="7">
                  <c:v>41980</c:v>
                </c:pt>
                <c:pt idx="8">
                  <c:v>41987</c:v>
                </c:pt>
                <c:pt idx="9">
                  <c:v>41994</c:v>
                </c:pt>
                <c:pt idx="10">
                  <c:v>42001</c:v>
                </c:pt>
                <c:pt idx="11">
                  <c:v>42008</c:v>
                </c:pt>
                <c:pt idx="12">
                  <c:v>42015</c:v>
                </c:pt>
                <c:pt idx="13">
                  <c:v>42022</c:v>
                </c:pt>
                <c:pt idx="14">
                  <c:v>42029</c:v>
                </c:pt>
                <c:pt idx="15">
                  <c:v>42036</c:v>
                </c:pt>
                <c:pt idx="16">
                  <c:v>42043</c:v>
                </c:pt>
                <c:pt idx="17">
                  <c:v>42050</c:v>
                </c:pt>
                <c:pt idx="18">
                  <c:v>42057</c:v>
                </c:pt>
                <c:pt idx="19">
                  <c:v>42064</c:v>
                </c:pt>
                <c:pt idx="20">
                  <c:v>42071</c:v>
                </c:pt>
                <c:pt idx="21">
                  <c:v>42078</c:v>
                </c:pt>
                <c:pt idx="22">
                  <c:v>42085</c:v>
                </c:pt>
                <c:pt idx="23">
                  <c:v>42092</c:v>
                </c:pt>
                <c:pt idx="24">
                  <c:v>42099</c:v>
                </c:pt>
                <c:pt idx="25">
                  <c:v>42106</c:v>
                </c:pt>
                <c:pt idx="26">
                  <c:v>42113</c:v>
                </c:pt>
                <c:pt idx="27">
                  <c:v>42120</c:v>
                </c:pt>
                <c:pt idx="28">
                  <c:v>42127</c:v>
                </c:pt>
                <c:pt idx="29">
                  <c:v>42134</c:v>
                </c:pt>
                <c:pt idx="30">
                  <c:v>42141</c:v>
                </c:pt>
                <c:pt idx="31">
                  <c:v>42148</c:v>
                </c:pt>
                <c:pt idx="32">
                  <c:v>42155</c:v>
                </c:pt>
                <c:pt idx="33">
                  <c:v>42162</c:v>
                </c:pt>
                <c:pt idx="34">
                  <c:v>42169</c:v>
                </c:pt>
                <c:pt idx="35">
                  <c:v>42176</c:v>
                </c:pt>
                <c:pt idx="36">
                  <c:v>42183</c:v>
                </c:pt>
                <c:pt idx="37">
                  <c:v>42190</c:v>
                </c:pt>
                <c:pt idx="38">
                  <c:v>42197</c:v>
                </c:pt>
                <c:pt idx="39">
                  <c:v>42204</c:v>
                </c:pt>
                <c:pt idx="40">
                  <c:v>42211</c:v>
                </c:pt>
                <c:pt idx="41">
                  <c:v>42218</c:v>
                </c:pt>
                <c:pt idx="42">
                  <c:v>42225</c:v>
                </c:pt>
                <c:pt idx="43">
                  <c:v>42232</c:v>
                </c:pt>
                <c:pt idx="44">
                  <c:v>42239</c:v>
                </c:pt>
                <c:pt idx="45">
                  <c:v>42246</c:v>
                </c:pt>
                <c:pt idx="46">
                  <c:v>42253</c:v>
                </c:pt>
                <c:pt idx="47">
                  <c:v>42260</c:v>
                </c:pt>
                <c:pt idx="48">
                  <c:v>42267</c:v>
                </c:pt>
                <c:pt idx="49">
                  <c:v>42274</c:v>
                </c:pt>
                <c:pt idx="50">
                  <c:v>42281</c:v>
                </c:pt>
                <c:pt idx="51">
                  <c:v>42288</c:v>
                </c:pt>
                <c:pt idx="52">
                  <c:v>42295</c:v>
                </c:pt>
                <c:pt idx="53">
                  <c:v>42302</c:v>
                </c:pt>
                <c:pt idx="54">
                  <c:v>42309</c:v>
                </c:pt>
                <c:pt idx="55">
                  <c:v>42316</c:v>
                </c:pt>
                <c:pt idx="56">
                  <c:v>42323</c:v>
                </c:pt>
                <c:pt idx="57">
                  <c:v>42330</c:v>
                </c:pt>
                <c:pt idx="58">
                  <c:v>42337</c:v>
                </c:pt>
                <c:pt idx="59">
                  <c:v>42344</c:v>
                </c:pt>
                <c:pt idx="60">
                  <c:v>42351</c:v>
                </c:pt>
                <c:pt idx="61">
                  <c:v>42358</c:v>
                </c:pt>
                <c:pt idx="62">
                  <c:v>42365</c:v>
                </c:pt>
                <c:pt idx="63">
                  <c:v>42372</c:v>
                </c:pt>
                <c:pt idx="64">
                  <c:v>42379</c:v>
                </c:pt>
                <c:pt idx="65">
                  <c:v>42386</c:v>
                </c:pt>
                <c:pt idx="66">
                  <c:v>42393</c:v>
                </c:pt>
                <c:pt idx="67">
                  <c:v>42400</c:v>
                </c:pt>
                <c:pt idx="68">
                  <c:v>42407</c:v>
                </c:pt>
                <c:pt idx="69">
                  <c:v>42414</c:v>
                </c:pt>
                <c:pt idx="70">
                  <c:v>42421</c:v>
                </c:pt>
                <c:pt idx="71">
                  <c:v>42428</c:v>
                </c:pt>
                <c:pt idx="72">
                  <c:v>42435</c:v>
                </c:pt>
                <c:pt idx="73">
                  <c:v>42442</c:v>
                </c:pt>
                <c:pt idx="74">
                  <c:v>42449</c:v>
                </c:pt>
                <c:pt idx="75">
                  <c:v>42456</c:v>
                </c:pt>
                <c:pt idx="76">
                  <c:v>42463</c:v>
                </c:pt>
                <c:pt idx="77">
                  <c:v>42470</c:v>
                </c:pt>
                <c:pt idx="78">
                  <c:v>42477</c:v>
                </c:pt>
                <c:pt idx="79">
                  <c:v>42484</c:v>
                </c:pt>
                <c:pt idx="80">
                  <c:v>42491</c:v>
                </c:pt>
                <c:pt idx="81">
                  <c:v>42498</c:v>
                </c:pt>
                <c:pt idx="82">
                  <c:v>42505</c:v>
                </c:pt>
                <c:pt idx="83">
                  <c:v>42512</c:v>
                </c:pt>
                <c:pt idx="84">
                  <c:v>42519</c:v>
                </c:pt>
                <c:pt idx="85">
                  <c:v>42526</c:v>
                </c:pt>
                <c:pt idx="86">
                  <c:v>42533</c:v>
                </c:pt>
                <c:pt idx="87">
                  <c:v>42540</c:v>
                </c:pt>
                <c:pt idx="88">
                  <c:v>42547</c:v>
                </c:pt>
                <c:pt idx="89">
                  <c:v>42554</c:v>
                </c:pt>
                <c:pt idx="90">
                  <c:v>42561</c:v>
                </c:pt>
                <c:pt idx="91">
                  <c:v>42568</c:v>
                </c:pt>
                <c:pt idx="92">
                  <c:v>42575</c:v>
                </c:pt>
                <c:pt idx="93">
                  <c:v>42582</c:v>
                </c:pt>
                <c:pt idx="94">
                  <c:v>42589</c:v>
                </c:pt>
                <c:pt idx="95">
                  <c:v>42596</c:v>
                </c:pt>
                <c:pt idx="96">
                  <c:v>42603</c:v>
                </c:pt>
                <c:pt idx="97">
                  <c:v>42610</c:v>
                </c:pt>
                <c:pt idx="98">
                  <c:v>42617</c:v>
                </c:pt>
                <c:pt idx="99">
                  <c:v>42624</c:v>
                </c:pt>
                <c:pt idx="100">
                  <c:v>42631</c:v>
                </c:pt>
                <c:pt idx="101">
                  <c:v>42638</c:v>
                </c:pt>
                <c:pt idx="102">
                  <c:v>42645</c:v>
                </c:pt>
                <c:pt idx="103">
                  <c:v>42652</c:v>
                </c:pt>
                <c:pt idx="104">
                  <c:v>42659</c:v>
                </c:pt>
                <c:pt idx="105">
                  <c:v>42666</c:v>
                </c:pt>
                <c:pt idx="106">
                  <c:v>42673</c:v>
                </c:pt>
                <c:pt idx="107">
                  <c:v>42680</c:v>
                </c:pt>
                <c:pt idx="108">
                  <c:v>42687</c:v>
                </c:pt>
                <c:pt idx="109">
                  <c:v>42694</c:v>
                </c:pt>
                <c:pt idx="110">
                  <c:v>42701</c:v>
                </c:pt>
                <c:pt idx="111">
                  <c:v>42708</c:v>
                </c:pt>
                <c:pt idx="112">
                  <c:v>42715</c:v>
                </c:pt>
                <c:pt idx="113">
                  <c:v>42722</c:v>
                </c:pt>
                <c:pt idx="114">
                  <c:v>42729</c:v>
                </c:pt>
                <c:pt idx="115">
                  <c:v>42736</c:v>
                </c:pt>
                <c:pt idx="116">
                  <c:v>42743</c:v>
                </c:pt>
                <c:pt idx="117">
                  <c:v>42750</c:v>
                </c:pt>
                <c:pt idx="118">
                  <c:v>42757</c:v>
                </c:pt>
                <c:pt idx="119">
                  <c:v>42764</c:v>
                </c:pt>
                <c:pt idx="120">
                  <c:v>42771</c:v>
                </c:pt>
                <c:pt idx="121">
                  <c:v>42778</c:v>
                </c:pt>
                <c:pt idx="122">
                  <c:v>42785</c:v>
                </c:pt>
                <c:pt idx="123">
                  <c:v>42792</c:v>
                </c:pt>
                <c:pt idx="124">
                  <c:v>42799</c:v>
                </c:pt>
                <c:pt idx="125">
                  <c:v>42806</c:v>
                </c:pt>
                <c:pt idx="126">
                  <c:v>42813</c:v>
                </c:pt>
                <c:pt idx="127">
                  <c:v>42820</c:v>
                </c:pt>
                <c:pt idx="128">
                  <c:v>42827</c:v>
                </c:pt>
                <c:pt idx="129">
                  <c:v>42834</c:v>
                </c:pt>
                <c:pt idx="130">
                  <c:v>42841</c:v>
                </c:pt>
                <c:pt idx="131">
                  <c:v>42848</c:v>
                </c:pt>
                <c:pt idx="132">
                  <c:v>42855</c:v>
                </c:pt>
                <c:pt idx="133">
                  <c:v>42862</c:v>
                </c:pt>
                <c:pt idx="134">
                  <c:v>42869</c:v>
                </c:pt>
                <c:pt idx="135">
                  <c:v>42876</c:v>
                </c:pt>
                <c:pt idx="136">
                  <c:v>42883</c:v>
                </c:pt>
                <c:pt idx="137">
                  <c:v>42890</c:v>
                </c:pt>
                <c:pt idx="138">
                  <c:v>42897</c:v>
                </c:pt>
                <c:pt idx="139">
                  <c:v>42904</c:v>
                </c:pt>
                <c:pt idx="140">
                  <c:v>42911</c:v>
                </c:pt>
                <c:pt idx="141">
                  <c:v>42918</c:v>
                </c:pt>
                <c:pt idx="142">
                  <c:v>42925</c:v>
                </c:pt>
                <c:pt idx="143">
                  <c:v>42932</c:v>
                </c:pt>
                <c:pt idx="144">
                  <c:v>42939</c:v>
                </c:pt>
                <c:pt idx="145">
                  <c:v>42946</c:v>
                </c:pt>
                <c:pt idx="146">
                  <c:v>42953</c:v>
                </c:pt>
                <c:pt idx="147">
                  <c:v>42960</c:v>
                </c:pt>
                <c:pt idx="148">
                  <c:v>42967</c:v>
                </c:pt>
                <c:pt idx="149">
                  <c:v>42974</c:v>
                </c:pt>
                <c:pt idx="150">
                  <c:v>42981</c:v>
                </c:pt>
                <c:pt idx="151">
                  <c:v>42988</c:v>
                </c:pt>
                <c:pt idx="152">
                  <c:v>42995</c:v>
                </c:pt>
                <c:pt idx="153">
                  <c:v>43002</c:v>
                </c:pt>
                <c:pt idx="154">
                  <c:v>43009</c:v>
                </c:pt>
                <c:pt idx="155">
                  <c:v>43016</c:v>
                </c:pt>
                <c:pt idx="156">
                  <c:v>43023</c:v>
                </c:pt>
                <c:pt idx="157">
                  <c:v>43030</c:v>
                </c:pt>
              </c:numCache>
            </c:numRef>
          </c:xVal>
          <c:yVal>
            <c:numRef>
              <c:f>Sheet1!$B$20:$ZZ$20</c:f>
              <c:numCache>
                <c:formatCode>#,##0</c:formatCode>
                <c:ptCount val="701"/>
                <c:pt idx="0">
                  <c:v>9922</c:v>
                </c:pt>
                <c:pt idx="1">
                  <c:v>21224</c:v>
                </c:pt>
                <c:pt idx="2">
                  <c:v>14272</c:v>
                </c:pt>
                <c:pt idx="3">
                  <c:v>2942</c:v>
                </c:pt>
                <c:pt idx="4">
                  <c:v>4781</c:v>
                </c:pt>
                <c:pt idx="5">
                  <c:v>7301</c:v>
                </c:pt>
                <c:pt idx="6">
                  <c:v>3368</c:v>
                </c:pt>
                <c:pt idx="7">
                  <c:v>4462</c:v>
                </c:pt>
                <c:pt idx="8">
                  <c:v>4933</c:v>
                </c:pt>
                <c:pt idx="9">
                  <c:v>2703</c:v>
                </c:pt>
                <c:pt idx="10">
                  <c:v>1911</c:v>
                </c:pt>
                <c:pt idx="11">
                  <c:v>1952</c:v>
                </c:pt>
                <c:pt idx="12">
                  <c:v>2567</c:v>
                </c:pt>
                <c:pt idx="13">
                  <c:v>2866</c:v>
                </c:pt>
                <c:pt idx="14">
                  <c:v>2914</c:v>
                </c:pt>
                <c:pt idx="15">
                  <c:v>3693</c:v>
                </c:pt>
                <c:pt idx="16">
                  <c:v>3496</c:v>
                </c:pt>
                <c:pt idx="17">
                  <c:v>3816</c:v>
                </c:pt>
                <c:pt idx="18">
                  <c:v>3514</c:v>
                </c:pt>
                <c:pt idx="19">
                  <c:v>3776</c:v>
                </c:pt>
                <c:pt idx="20">
                  <c:v>3535</c:v>
                </c:pt>
                <c:pt idx="21">
                  <c:v>4279</c:v>
                </c:pt>
                <c:pt idx="22">
                  <c:v>1504</c:v>
                </c:pt>
                <c:pt idx="23">
                  <c:v>2045</c:v>
                </c:pt>
                <c:pt idx="24">
                  <c:v>3237</c:v>
                </c:pt>
                <c:pt idx="25">
                  <c:v>3147</c:v>
                </c:pt>
                <c:pt idx="26">
                  <c:v>5155</c:v>
                </c:pt>
                <c:pt idx="27">
                  <c:v>5222</c:v>
                </c:pt>
                <c:pt idx="28">
                  <c:v>4077</c:v>
                </c:pt>
                <c:pt idx="29">
                  <c:v>4001</c:v>
                </c:pt>
                <c:pt idx="30">
                  <c:v>2316</c:v>
                </c:pt>
                <c:pt idx="31">
                  <c:v>3534</c:v>
                </c:pt>
                <c:pt idx="32">
                  <c:v>2400</c:v>
                </c:pt>
                <c:pt idx="33">
                  <c:v>6146</c:v>
                </c:pt>
                <c:pt idx="34">
                  <c:v>2899</c:v>
                </c:pt>
                <c:pt idx="35">
                  <c:v>7861</c:v>
                </c:pt>
                <c:pt idx="36">
                  <c:v>2972</c:v>
                </c:pt>
                <c:pt idx="37">
                  <c:v>4265</c:v>
                </c:pt>
                <c:pt idx="38">
                  <c:v>3805</c:v>
                </c:pt>
                <c:pt idx="39">
                  <c:v>4240</c:v>
                </c:pt>
                <c:pt idx="40">
                  <c:v>4365</c:v>
                </c:pt>
                <c:pt idx="41">
                  <c:v>3988</c:v>
                </c:pt>
                <c:pt idx="42">
                  <c:v>3241</c:v>
                </c:pt>
                <c:pt idx="43">
                  <c:v>2577</c:v>
                </c:pt>
                <c:pt idx="44">
                  <c:v>5070</c:v>
                </c:pt>
                <c:pt idx="45">
                  <c:v>2850</c:v>
                </c:pt>
                <c:pt idx="46">
                  <c:v>4242</c:v>
                </c:pt>
                <c:pt idx="47">
                  <c:v>3395</c:v>
                </c:pt>
                <c:pt idx="48">
                  <c:v>3173</c:v>
                </c:pt>
                <c:pt idx="49">
                  <c:v>4325</c:v>
                </c:pt>
                <c:pt idx="50">
                  <c:v>14760</c:v>
                </c:pt>
                <c:pt idx="51">
                  <c:v>3511</c:v>
                </c:pt>
                <c:pt idx="52">
                  <c:v>4814</c:v>
                </c:pt>
                <c:pt idx="53">
                  <c:v>4358</c:v>
                </c:pt>
                <c:pt idx="54">
                  <c:v>3366</c:v>
                </c:pt>
                <c:pt idx="55">
                  <c:v>5821</c:v>
                </c:pt>
                <c:pt idx="56">
                  <c:v>3948</c:v>
                </c:pt>
                <c:pt idx="57">
                  <c:v>3641</c:v>
                </c:pt>
                <c:pt idx="58">
                  <c:v>12574</c:v>
                </c:pt>
                <c:pt idx="59">
                  <c:v>5305</c:v>
                </c:pt>
                <c:pt idx="60">
                  <c:v>4322</c:v>
                </c:pt>
                <c:pt idx="61">
                  <c:v>2021</c:v>
                </c:pt>
                <c:pt idx="62">
                  <c:v>1732</c:v>
                </c:pt>
                <c:pt idx="63">
                  <c:v>2108</c:v>
                </c:pt>
                <c:pt idx="64">
                  <c:v>4909</c:v>
                </c:pt>
                <c:pt idx="65">
                  <c:v>3709</c:v>
                </c:pt>
                <c:pt idx="66">
                  <c:v>21954</c:v>
                </c:pt>
                <c:pt idx="67">
                  <c:v>27702</c:v>
                </c:pt>
                <c:pt idx="68">
                  <c:v>28673</c:v>
                </c:pt>
                <c:pt idx="69">
                  <c:v>29804</c:v>
                </c:pt>
                <c:pt idx="70">
                  <c:v>16312</c:v>
                </c:pt>
                <c:pt idx="71">
                  <c:v>6396</c:v>
                </c:pt>
                <c:pt idx="72">
                  <c:v>26585</c:v>
                </c:pt>
                <c:pt idx="73">
                  <c:v>25950</c:v>
                </c:pt>
                <c:pt idx="74">
                  <c:v>29206.6</c:v>
                </c:pt>
                <c:pt idx="75">
                  <c:v>15954</c:v>
                </c:pt>
                <c:pt idx="76">
                  <c:v>11024</c:v>
                </c:pt>
                <c:pt idx="77">
                  <c:v>8110</c:v>
                </c:pt>
                <c:pt idx="78">
                  <c:v>4102</c:v>
                </c:pt>
                <c:pt idx="79">
                  <c:v>4228</c:v>
                </c:pt>
                <c:pt idx="80">
                  <c:v>4034</c:v>
                </c:pt>
                <c:pt idx="81">
                  <c:v>4124</c:v>
                </c:pt>
                <c:pt idx="82">
                  <c:v>4887</c:v>
                </c:pt>
                <c:pt idx="83">
                  <c:v>4499</c:v>
                </c:pt>
                <c:pt idx="84">
                  <c:v>4557</c:v>
                </c:pt>
                <c:pt idx="85">
                  <c:v>4712</c:v>
                </c:pt>
                <c:pt idx="86">
                  <c:v>4597</c:v>
                </c:pt>
                <c:pt idx="87">
                  <c:v>4284</c:v>
                </c:pt>
                <c:pt idx="88">
                  <c:v>4827</c:v>
                </c:pt>
                <c:pt idx="89">
                  <c:v>2657</c:v>
                </c:pt>
                <c:pt idx="90">
                  <c:v>1840</c:v>
                </c:pt>
                <c:pt idx="91">
                  <c:v>2234</c:v>
                </c:pt>
                <c:pt idx="92">
                  <c:v>1736</c:v>
                </c:pt>
                <c:pt idx="93">
                  <c:v>1681</c:v>
                </c:pt>
                <c:pt idx="94">
                  <c:v>3990</c:v>
                </c:pt>
                <c:pt idx="95">
                  <c:v>4159</c:v>
                </c:pt>
                <c:pt idx="96">
                  <c:v>4251</c:v>
                </c:pt>
                <c:pt idx="97">
                  <c:v>5841</c:v>
                </c:pt>
                <c:pt idx="98">
                  <c:v>10202</c:v>
                </c:pt>
                <c:pt idx="99">
                  <c:v>4547</c:v>
                </c:pt>
                <c:pt idx="100">
                  <c:v>4190</c:v>
                </c:pt>
                <c:pt idx="101">
                  <c:v>5767</c:v>
                </c:pt>
                <c:pt idx="102">
                  <c:v>4430</c:v>
                </c:pt>
                <c:pt idx="103">
                  <c:v>16707</c:v>
                </c:pt>
                <c:pt idx="104">
                  <c:v>30247</c:v>
                </c:pt>
                <c:pt idx="105" formatCode="General">
                  <c:v>4164</c:v>
                </c:pt>
                <c:pt idx="106">
                  <c:v>3723</c:v>
                </c:pt>
                <c:pt idx="107">
                  <c:v>5257</c:v>
                </c:pt>
                <c:pt idx="108">
                  <c:v>4686</c:v>
                </c:pt>
                <c:pt idx="109">
                  <c:v>4470</c:v>
                </c:pt>
                <c:pt idx="110">
                  <c:v>6747</c:v>
                </c:pt>
                <c:pt idx="111">
                  <c:v>8484</c:v>
                </c:pt>
                <c:pt idx="112">
                  <c:v>4150</c:v>
                </c:pt>
                <c:pt idx="113">
                  <c:v>4746</c:v>
                </c:pt>
                <c:pt idx="114">
                  <c:v>4083</c:v>
                </c:pt>
                <c:pt idx="115">
                  <c:v>4343</c:v>
                </c:pt>
                <c:pt idx="116">
                  <c:v>4896</c:v>
                </c:pt>
                <c:pt idx="117">
                  <c:v>3371</c:v>
                </c:pt>
                <c:pt idx="118">
                  <c:v>3112</c:v>
                </c:pt>
                <c:pt idx="119">
                  <c:v>29757</c:v>
                </c:pt>
                <c:pt idx="120">
                  <c:v>930</c:v>
                </c:pt>
                <c:pt idx="121">
                  <c:v>1607</c:v>
                </c:pt>
                <c:pt idx="122">
                  <c:v>5628</c:v>
                </c:pt>
                <c:pt idx="123">
                  <c:v>5369</c:v>
                </c:pt>
                <c:pt idx="124">
                  <c:v>5114</c:v>
                </c:pt>
                <c:pt idx="125">
                  <c:v>3307</c:v>
                </c:pt>
                <c:pt idx="126">
                  <c:v>2479</c:v>
                </c:pt>
                <c:pt idx="127">
                  <c:v>2601</c:v>
                </c:pt>
                <c:pt idx="128">
                  <c:v>1988</c:v>
                </c:pt>
                <c:pt idx="129">
                  <c:v>3460</c:v>
                </c:pt>
                <c:pt idx="130">
                  <c:v>3029</c:v>
                </c:pt>
                <c:pt idx="132">
                  <c:v>1705</c:v>
                </c:pt>
                <c:pt idx="133">
                  <c:v>1674</c:v>
                </c:pt>
                <c:pt idx="134">
                  <c:v>1701</c:v>
                </c:pt>
                <c:pt idx="135">
                  <c:v>1868</c:v>
                </c:pt>
                <c:pt idx="136">
                  <c:v>1540</c:v>
                </c:pt>
                <c:pt idx="137">
                  <c:v>1856</c:v>
                </c:pt>
                <c:pt idx="138">
                  <c:v>1870</c:v>
                </c:pt>
                <c:pt idx="139">
                  <c:v>2191</c:v>
                </c:pt>
                <c:pt idx="140">
                  <c:v>2322</c:v>
                </c:pt>
                <c:pt idx="141">
                  <c:v>5690</c:v>
                </c:pt>
                <c:pt idx="142">
                  <c:v>3214</c:v>
                </c:pt>
                <c:pt idx="143">
                  <c:v>3776</c:v>
                </c:pt>
                <c:pt idx="144">
                  <c:v>4171</c:v>
                </c:pt>
                <c:pt idx="145">
                  <c:v>2357</c:v>
                </c:pt>
                <c:pt idx="146">
                  <c:v>2323</c:v>
                </c:pt>
                <c:pt idx="147">
                  <c:v>12374</c:v>
                </c:pt>
                <c:pt idx="148">
                  <c:v>2158</c:v>
                </c:pt>
                <c:pt idx="149">
                  <c:v>1591</c:v>
                </c:pt>
                <c:pt idx="150">
                  <c:v>1667</c:v>
                </c:pt>
                <c:pt idx="151">
                  <c:v>1509</c:v>
                </c:pt>
                <c:pt idx="152">
                  <c:v>2056</c:v>
                </c:pt>
                <c:pt idx="153">
                  <c:v>2400</c:v>
                </c:pt>
                <c:pt idx="154">
                  <c:v>2421</c:v>
                </c:pt>
                <c:pt idx="155">
                  <c:v>3108</c:v>
                </c:pt>
              </c:numCache>
            </c:numRef>
          </c:yVal>
          <c:smooth val="0"/>
        </c:ser>
        <c:ser>
          <c:idx val="4"/>
          <c:order val="11"/>
          <c:tx>
            <c:v>IRSA TAP/S</c:v>
          </c:tx>
          <c:spPr>
            <a:ln w="28575">
              <a:noFill/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xVal>
            <c:numRef>
              <c:f>Sheet1!$B$3:$ZZ$3</c:f>
              <c:numCache>
                <c:formatCode>m/d/yyyy</c:formatCode>
                <c:ptCount val="701"/>
                <c:pt idx="0">
                  <c:v>41931</c:v>
                </c:pt>
                <c:pt idx="1">
                  <c:v>41938</c:v>
                </c:pt>
                <c:pt idx="2">
                  <c:v>41945</c:v>
                </c:pt>
                <c:pt idx="3">
                  <c:v>41952</c:v>
                </c:pt>
                <c:pt idx="4">
                  <c:v>41959</c:v>
                </c:pt>
                <c:pt idx="5">
                  <c:v>41966</c:v>
                </c:pt>
                <c:pt idx="6">
                  <c:v>41973</c:v>
                </c:pt>
                <c:pt idx="7">
                  <c:v>41980</c:v>
                </c:pt>
                <c:pt idx="8">
                  <c:v>41987</c:v>
                </c:pt>
                <c:pt idx="9">
                  <c:v>41994</c:v>
                </c:pt>
                <c:pt idx="10">
                  <c:v>42001</c:v>
                </c:pt>
                <c:pt idx="11">
                  <c:v>42008</c:v>
                </c:pt>
                <c:pt idx="12">
                  <c:v>42015</c:v>
                </c:pt>
                <c:pt idx="13">
                  <c:v>42022</c:v>
                </c:pt>
                <c:pt idx="14">
                  <c:v>42029</c:v>
                </c:pt>
                <c:pt idx="15">
                  <c:v>42036</c:v>
                </c:pt>
                <c:pt idx="16">
                  <c:v>42043</c:v>
                </c:pt>
                <c:pt idx="17">
                  <c:v>42050</c:v>
                </c:pt>
                <c:pt idx="18">
                  <c:v>42057</c:v>
                </c:pt>
                <c:pt idx="19">
                  <c:v>42064</c:v>
                </c:pt>
                <c:pt idx="20">
                  <c:v>42071</c:v>
                </c:pt>
                <c:pt idx="21">
                  <c:v>42078</c:v>
                </c:pt>
                <c:pt idx="22">
                  <c:v>42085</c:v>
                </c:pt>
                <c:pt idx="23">
                  <c:v>42092</c:v>
                </c:pt>
                <c:pt idx="24">
                  <c:v>42099</c:v>
                </c:pt>
                <c:pt idx="25">
                  <c:v>42106</c:v>
                </c:pt>
                <c:pt idx="26">
                  <c:v>42113</c:v>
                </c:pt>
                <c:pt idx="27">
                  <c:v>42120</c:v>
                </c:pt>
                <c:pt idx="28">
                  <c:v>42127</c:v>
                </c:pt>
                <c:pt idx="29">
                  <c:v>42134</c:v>
                </c:pt>
                <c:pt idx="30">
                  <c:v>42141</c:v>
                </c:pt>
                <c:pt idx="31">
                  <c:v>42148</c:v>
                </c:pt>
                <c:pt idx="32">
                  <c:v>42155</c:v>
                </c:pt>
                <c:pt idx="33">
                  <c:v>42162</c:v>
                </c:pt>
                <c:pt idx="34">
                  <c:v>42169</c:v>
                </c:pt>
                <c:pt idx="35">
                  <c:v>42176</c:v>
                </c:pt>
                <c:pt idx="36">
                  <c:v>42183</c:v>
                </c:pt>
                <c:pt idx="37">
                  <c:v>42190</c:v>
                </c:pt>
                <c:pt idx="38">
                  <c:v>42197</c:v>
                </c:pt>
                <c:pt idx="39">
                  <c:v>42204</c:v>
                </c:pt>
                <c:pt idx="40">
                  <c:v>42211</c:v>
                </c:pt>
                <c:pt idx="41">
                  <c:v>42218</c:v>
                </c:pt>
                <c:pt idx="42">
                  <c:v>42225</c:v>
                </c:pt>
                <c:pt idx="43">
                  <c:v>42232</c:v>
                </c:pt>
                <c:pt idx="44">
                  <c:v>42239</c:v>
                </c:pt>
                <c:pt idx="45">
                  <c:v>42246</c:v>
                </c:pt>
                <c:pt idx="46">
                  <c:v>42253</c:v>
                </c:pt>
                <c:pt idx="47">
                  <c:v>42260</c:v>
                </c:pt>
                <c:pt idx="48">
                  <c:v>42267</c:v>
                </c:pt>
                <c:pt idx="49">
                  <c:v>42274</c:v>
                </c:pt>
                <c:pt idx="50">
                  <c:v>42281</c:v>
                </c:pt>
                <c:pt idx="51">
                  <c:v>42288</c:v>
                </c:pt>
                <c:pt idx="52">
                  <c:v>42295</c:v>
                </c:pt>
                <c:pt idx="53">
                  <c:v>42302</c:v>
                </c:pt>
                <c:pt idx="54">
                  <c:v>42309</c:v>
                </c:pt>
                <c:pt idx="55">
                  <c:v>42316</c:v>
                </c:pt>
                <c:pt idx="56">
                  <c:v>42323</c:v>
                </c:pt>
                <c:pt idx="57">
                  <c:v>42330</c:v>
                </c:pt>
                <c:pt idx="58">
                  <c:v>42337</c:v>
                </c:pt>
                <c:pt idx="59">
                  <c:v>42344</c:v>
                </c:pt>
                <c:pt idx="60">
                  <c:v>42351</c:v>
                </c:pt>
                <c:pt idx="61">
                  <c:v>42358</c:v>
                </c:pt>
                <c:pt idx="62">
                  <c:v>42365</c:v>
                </c:pt>
                <c:pt idx="63">
                  <c:v>42372</c:v>
                </c:pt>
                <c:pt idx="64">
                  <c:v>42379</c:v>
                </c:pt>
                <c:pt idx="65">
                  <c:v>42386</c:v>
                </c:pt>
                <c:pt idx="66">
                  <c:v>42393</c:v>
                </c:pt>
                <c:pt idx="67">
                  <c:v>42400</c:v>
                </c:pt>
                <c:pt idx="68">
                  <c:v>42407</c:v>
                </c:pt>
                <c:pt idx="69">
                  <c:v>42414</c:v>
                </c:pt>
                <c:pt idx="70">
                  <c:v>42421</c:v>
                </c:pt>
                <c:pt idx="71">
                  <c:v>42428</c:v>
                </c:pt>
                <c:pt idx="72">
                  <c:v>42435</c:v>
                </c:pt>
                <c:pt idx="73">
                  <c:v>42442</c:v>
                </c:pt>
                <c:pt idx="74">
                  <c:v>42449</c:v>
                </c:pt>
                <c:pt idx="75">
                  <c:v>42456</c:v>
                </c:pt>
                <c:pt idx="76">
                  <c:v>42463</c:v>
                </c:pt>
                <c:pt idx="77">
                  <c:v>42470</c:v>
                </c:pt>
                <c:pt idx="78">
                  <c:v>42477</c:v>
                </c:pt>
                <c:pt idx="79">
                  <c:v>42484</c:v>
                </c:pt>
                <c:pt idx="80">
                  <c:v>42491</c:v>
                </c:pt>
                <c:pt idx="81">
                  <c:v>42498</c:v>
                </c:pt>
                <c:pt idx="82">
                  <c:v>42505</c:v>
                </c:pt>
                <c:pt idx="83">
                  <c:v>42512</c:v>
                </c:pt>
                <c:pt idx="84">
                  <c:v>42519</c:v>
                </c:pt>
                <c:pt idx="85">
                  <c:v>42526</c:v>
                </c:pt>
                <c:pt idx="86">
                  <c:v>42533</c:v>
                </c:pt>
                <c:pt idx="87">
                  <c:v>42540</c:v>
                </c:pt>
                <c:pt idx="88">
                  <c:v>42547</c:v>
                </c:pt>
                <c:pt idx="89">
                  <c:v>42554</c:v>
                </c:pt>
                <c:pt idx="90">
                  <c:v>42561</c:v>
                </c:pt>
                <c:pt idx="91">
                  <c:v>42568</c:v>
                </c:pt>
                <c:pt idx="92">
                  <c:v>42575</c:v>
                </c:pt>
                <c:pt idx="93">
                  <c:v>42582</c:v>
                </c:pt>
                <c:pt idx="94">
                  <c:v>42589</c:v>
                </c:pt>
                <c:pt idx="95">
                  <c:v>42596</c:v>
                </c:pt>
                <c:pt idx="96">
                  <c:v>42603</c:v>
                </c:pt>
                <c:pt idx="97">
                  <c:v>42610</c:v>
                </c:pt>
                <c:pt idx="98">
                  <c:v>42617</c:v>
                </c:pt>
                <c:pt idx="99">
                  <c:v>42624</c:v>
                </c:pt>
                <c:pt idx="100">
                  <c:v>42631</c:v>
                </c:pt>
                <c:pt idx="101">
                  <c:v>42638</c:v>
                </c:pt>
                <c:pt idx="102">
                  <c:v>42645</c:v>
                </c:pt>
                <c:pt idx="103">
                  <c:v>42652</c:v>
                </c:pt>
                <c:pt idx="104">
                  <c:v>42659</c:v>
                </c:pt>
                <c:pt idx="105">
                  <c:v>42666</c:v>
                </c:pt>
                <c:pt idx="106">
                  <c:v>42673</c:v>
                </c:pt>
                <c:pt idx="107">
                  <c:v>42680</c:v>
                </c:pt>
                <c:pt idx="108">
                  <c:v>42687</c:v>
                </c:pt>
                <c:pt idx="109">
                  <c:v>42694</c:v>
                </c:pt>
                <c:pt idx="110">
                  <c:v>42701</c:v>
                </c:pt>
                <c:pt idx="111">
                  <c:v>42708</c:v>
                </c:pt>
                <c:pt idx="112">
                  <c:v>42715</c:v>
                </c:pt>
                <c:pt idx="113">
                  <c:v>42722</c:v>
                </c:pt>
                <c:pt idx="114">
                  <c:v>42729</c:v>
                </c:pt>
                <c:pt idx="115">
                  <c:v>42736</c:v>
                </c:pt>
                <c:pt idx="116">
                  <c:v>42743</c:v>
                </c:pt>
                <c:pt idx="117">
                  <c:v>42750</c:v>
                </c:pt>
                <c:pt idx="118">
                  <c:v>42757</c:v>
                </c:pt>
                <c:pt idx="119">
                  <c:v>42764</c:v>
                </c:pt>
                <c:pt idx="120">
                  <c:v>42771</c:v>
                </c:pt>
                <c:pt idx="121">
                  <c:v>42778</c:v>
                </c:pt>
                <c:pt idx="122">
                  <c:v>42785</c:v>
                </c:pt>
                <c:pt idx="123">
                  <c:v>42792</c:v>
                </c:pt>
                <c:pt idx="124">
                  <c:v>42799</c:v>
                </c:pt>
                <c:pt idx="125">
                  <c:v>42806</c:v>
                </c:pt>
                <c:pt idx="126">
                  <c:v>42813</c:v>
                </c:pt>
                <c:pt idx="127">
                  <c:v>42820</c:v>
                </c:pt>
                <c:pt idx="128">
                  <c:v>42827</c:v>
                </c:pt>
                <c:pt idx="129">
                  <c:v>42834</c:v>
                </c:pt>
                <c:pt idx="130">
                  <c:v>42841</c:v>
                </c:pt>
                <c:pt idx="131">
                  <c:v>42848</c:v>
                </c:pt>
                <c:pt idx="132">
                  <c:v>42855</c:v>
                </c:pt>
                <c:pt idx="133">
                  <c:v>42862</c:v>
                </c:pt>
                <c:pt idx="134">
                  <c:v>42869</c:v>
                </c:pt>
                <c:pt idx="135">
                  <c:v>42876</c:v>
                </c:pt>
                <c:pt idx="136">
                  <c:v>42883</c:v>
                </c:pt>
                <c:pt idx="137">
                  <c:v>42890</c:v>
                </c:pt>
                <c:pt idx="138">
                  <c:v>42897</c:v>
                </c:pt>
                <c:pt idx="139">
                  <c:v>42904</c:v>
                </c:pt>
                <c:pt idx="140">
                  <c:v>42911</c:v>
                </c:pt>
                <c:pt idx="141">
                  <c:v>42918</c:v>
                </c:pt>
                <c:pt idx="142">
                  <c:v>42925</c:v>
                </c:pt>
                <c:pt idx="143">
                  <c:v>42932</c:v>
                </c:pt>
                <c:pt idx="144">
                  <c:v>42939</c:v>
                </c:pt>
                <c:pt idx="145">
                  <c:v>42946</c:v>
                </c:pt>
                <c:pt idx="146">
                  <c:v>42953</c:v>
                </c:pt>
                <c:pt idx="147">
                  <c:v>42960</c:v>
                </c:pt>
                <c:pt idx="148">
                  <c:v>42967</c:v>
                </c:pt>
                <c:pt idx="149">
                  <c:v>42974</c:v>
                </c:pt>
                <c:pt idx="150">
                  <c:v>42981</c:v>
                </c:pt>
                <c:pt idx="151">
                  <c:v>42988</c:v>
                </c:pt>
                <c:pt idx="152">
                  <c:v>42995</c:v>
                </c:pt>
                <c:pt idx="153">
                  <c:v>43002</c:v>
                </c:pt>
                <c:pt idx="154">
                  <c:v>43009</c:v>
                </c:pt>
                <c:pt idx="155">
                  <c:v>43016</c:v>
                </c:pt>
                <c:pt idx="156">
                  <c:v>43023</c:v>
                </c:pt>
                <c:pt idx="157">
                  <c:v>43030</c:v>
                </c:pt>
              </c:numCache>
            </c:numRef>
          </c:xVal>
          <c:yVal>
            <c:numRef>
              <c:f>Sheet1!$B$21:$ZZ$21</c:f>
              <c:numCache>
                <c:formatCode>#,##0</c:formatCode>
                <c:ptCount val="701"/>
                <c:pt idx="11">
                  <c:v>2.5714285714285716</c:v>
                </c:pt>
                <c:pt idx="12">
                  <c:v>0</c:v>
                </c:pt>
                <c:pt idx="13">
                  <c:v>5.1428571428571432</c:v>
                </c:pt>
                <c:pt idx="14">
                  <c:v>0.5714285714285714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8.4285714285714288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2.1428571428571428</c:v>
                </c:pt>
                <c:pt idx="23">
                  <c:v>0</c:v>
                </c:pt>
                <c:pt idx="24">
                  <c:v>0.2857142857142857</c:v>
                </c:pt>
                <c:pt idx="25">
                  <c:v>5.2857142857142856</c:v>
                </c:pt>
                <c:pt idx="26">
                  <c:v>24.571428571428573</c:v>
                </c:pt>
                <c:pt idx="27">
                  <c:v>0.5714285714285714</c:v>
                </c:pt>
                <c:pt idx="28">
                  <c:v>1</c:v>
                </c:pt>
                <c:pt idx="29">
                  <c:v>0</c:v>
                </c:pt>
                <c:pt idx="30">
                  <c:v>0.5714285714285714</c:v>
                </c:pt>
                <c:pt idx="31">
                  <c:v>0.42857142857142855</c:v>
                </c:pt>
                <c:pt idx="32">
                  <c:v>0.5714285714285714</c:v>
                </c:pt>
                <c:pt idx="33">
                  <c:v>3.2857142857142856</c:v>
                </c:pt>
                <c:pt idx="34">
                  <c:v>1</c:v>
                </c:pt>
                <c:pt idx="35">
                  <c:v>1.8571428571428572</c:v>
                </c:pt>
                <c:pt idx="36">
                  <c:v>3.1428571428571428</c:v>
                </c:pt>
                <c:pt idx="37">
                  <c:v>1.2857142857142858</c:v>
                </c:pt>
                <c:pt idx="38">
                  <c:v>12.714285714285714</c:v>
                </c:pt>
                <c:pt idx="39">
                  <c:v>93</c:v>
                </c:pt>
                <c:pt idx="40">
                  <c:v>949.28571428571433</c:v>
                </c:pt>
                <c:pt idx="41">
                  <c:v>35052</c:v>
                </c:pt>
                <c:pt idx="42">
                  <c:v>14417.142857142857</c:v>
                </c:pt>
                <c:pt idx="43">
                  <c:v>137.57142857142858</c:v>
                </c:pt>
                <c:pt idx="44">
                  <c:v>375.14285714285717</c:v>
                </c:pt>
                <c:pt idx="45">
                  <c:v>598.42857142857144</c:v>
                </c:pt>
                <c:pt idx="46">
                  <c:v>33991.285714285717</c:v>
                </c:pt>
                <c:pt idx="47">
                  <c:v>30557.857142857141</c:v>
                </c:pt>
                <c:pt idx="48">
                  <c:v>44840.714285714283</c:v>
                </c:pt>
                <c:pt idx="49">
                  <c:v>80866.571428571435</c:v>
                </c:pt>
                <c:pt idx="52">
                  <c:v>2960</c:v>
                </c:pt>
                <c:pt idx="53">
                  <c:v>620</c:v>
                </c:pt>
                <c:pt idx="54">
                  <c:v>10</c:v>
                </c:pt>
                <c:pt idx="55">
                  <c:v>140</c:v>
                </c:pt>
                <c:pt idx="56">
                  <c:v>1483</c:v>
                </c:pt>
                <c:pt idx="57">
                  <c:v>5113</c:v>
                </c:pt>
                <c:pt idx="58">
                  <c:v>131626</c:v>
                </c:pt>
                <c:pt idx="59">
                  <c:v>103158</c:v>
                </c:pt>
                <c:pt idx="60">
                  <c:v>41419</c:v>
                </c:pt>
                <c:pt idx="61">
                  <c:v>132934</c:v>
                </c:pt>
                <c:pt idx="62">
                  <c:v>120591</c:v>
                </c:pt>
                <c:pt idx="63">
                  <c:v>94430</c:v>
                </c:pt>
                <c:pt idx="64" formatCode="General">
                  <c:v>98122</c:v>
                </c:pt>
                <c:pt idx="65" formatCode="General">
                  <c:v>42369</c:v>
                </c:pt>
                <c:pt idx="66">
                  <c:v>115091</c:v>
                </c:pt>
                <c:pt idx="67">
                  <c:v>104300</c:v>
                </c:pt>
                <c:pt idx="68">
                  <c:v>117151</c:v>
                </c:pt>
                <c:pt idx="69">
                  <c:v>102503</c:v>
                </c:pt>
                <c:pt idx="70">
                  <c:v>141988</c:v>
                </c:pt>
                <c:pt idx="71">
                  <c:v>133895</c:v>
                </c:pt>
                <c:pt idx="72">
                  <c:v>123916</c:v>
                </c:pt>
                <c:pt idx="73">
                  <c:v>112136</c:v>
                </c:pt>
                <c:pt idx="74">
                  <c:v>107394</c:v>
                </c:pt>
                <c:pt idx="75">
                  <c:v>91429</c:v>
                </c:pt>
                <c:pt idx="76">
                  <c:v>130253</c:v>
                </c:pt>
                <c:pt idx="77">
                  <c:v>82329</c:v>
                </c:pt>
                <c:pt idx="78">
                  <c:v>101900</c:v>
                </c:pt>
                <c:pt idx="79">
                  <c:v>111860</c:v>
                </c:pt>
                <c:pt idx="80">
                  <c:v>89351</c:v>
                </c:pt>
                <c:pt idx="81">
                  <c:v>79359</c:v>
                </c:pt>
                <c:pt idx="82">
                  <c:v>62653</c:v>
                </c:pt>
                <c:pt idx="83">
                  <c:v>66237</c:v>
                </c:pt>
                <c:pt idx="84">
                  <c:v>50243</c:v>
                </c:pt>
                <c:pt idx="85">
                  <c:v>85916</c:v>
                </c:pt>
                <c:pt idx="86">
                  <c:v>198805</c:v>
                </c:pt>
                <c:pt idx="87">
                  <c:v>186039</c:v>
                </c:pt>
                <c:pt idx="88">
                  <c:v>235246</c:v>
                </c:pt>
                <c:pt idx="89">
                  <c:v>200658</c:v>
                </c:pt>
                <c:pt idx="90">
                  <c:v>176625</c:v>
                </c:pt>
                <c:pt idx="91">
                  <c:v>178080</c:v>
                </c:pt>
                <c:pt idx="92">
                  <c:v>165340</c:v>
                </c:pt>
                <c:pt idx="93">
                  <c:v>127997</c:v>
                </c:pt>
                <c:pt idx="94">
                  <c:v>120220</c:v>
                </c:pt>
                <c:pt idx="95">
                  <c:v>21878</c:v>
                </c:pt>
                <c:pt idx="96" formatCode="General">
                  <c:v>887</c:v>
                </c:pt>
                <c:pt idx="97" formatCode="General">
                  <c:v>79901</c:v>
                </c:pt>
                <c:pt idx="98" formatCode="General">
                  <c:v>103348</c:v>
                </c:pt>
                <c:pt idx="99">
                  <c:v>82678</c:v>
                </c:pt>
                <c:pt idx="100">
                  <c:v>217</c:v>
                </c:pt>
                <c:pt idx="101" formatCode="General">
                  <c:v>85</c:v>
                </c:pt>
                <c:pt idx="102">
                  <c:v>104</c:v>
                </c:pt>
                <c:pt idx="103" formatCode="General">
                  <c:v>199</c:v>
                </c:pt>
                <c:pt idx="104" formatCode="General">
                  <c:v>16641</c:v>
                </c:pt>
                <c:pt idx="105" formatCode="General">
                  <c:v>160</c:v>
                </c:pt>
                <c:pt idx="106" formatCode="General">
                  <c:v>112</c:v>
                </c:pt>
                <c:pt idx="107" formatCode="General">
                  <c:v>1368</c:v>
                </c:pt>
                <c:pt idx="108" formatCode="General">
                  <c:v>2032</c:v>
                </c:pt>
                <c:pt idx="109" formatCode="General">
                  <c:v>113</c:v>
                </c:pt>
                <c:pt idx="110" formatCode="General">
                  <c:v>907</c:v>
                </c:pt>
                <c:pt idx="111" formatCode="General">
                  <c:v>460</c:v>
                </c:pt>
                <c:pt idx="112" formatCode="General">
                  <c:v>1269</c:v>
                </c:pt>
                <c:pt idx="113" formatCode="General">
                  <c:v>148</c:v>
                </c:pt>
                <c:pt idx="114">
                  <c:v>176</c:v>
                </c:pt>
                <c:pt idx="115">
                  <c:v>4213</c:v>
                </c:pt>
                <c:pt idx="116">
                  <c:v>8278</c:v>
                </c:pt>
                <c:pt idx="117">
                  <c:v>6146</c:v>
                </c:pt>
                <c:pt idx="118">
                  <c:v>8407</c:v>
                </c:pt>
                <c:pt idx="119">
                  <c:v>102538</c:v>
                </c:pt>
                <c:pt idx="120">
                  <c:v>11846</c:v>
                </c:pt>
                <c:pt idx="121">
                  <c:v>16169</c:v>
                </c:pt>
                <c:pt idx="122">
                  <c:v>27876</c:v>
                </c:pt>
                <c:pt idx="123">
                  <c:v>12395</c:v>
                </c:pt>
                <c:pt idx="124">
                  <c:v>2480</c:v>
                </c:pt>
                <c:pt idx="125">
                  <c:v>1321</c:v>
                </c:pt>
                <c:pt idx="126">
                  <c:v>162</c:v>
                </c:pt>
                <c:pt idx="127">
                  <c:v>664</c:v>
                </c:pt>
                <c:pt idx="128">
                  <c:v>519</c:v>
                </c:pt>
                <c:pt idx="129">
                  <c:v>289</c:v>
                </c:pt>
                <c:pt idx="130">
                  <c:v>179</c:v>
                </c:pt>
                <c:pt idx="132">
                  <c:v>2053</c:v>
                </c:pt>
                <c:pt idx="133" formatCode="General">
                  <c:v>1171</c:v>
                </c:pt>
                <c:pt idx="134">
                  <c:v>219</c:v>
                </c:pt>
                <c:pt idx="135" formatCode="General">
                  <c:v>1212</c:v>
                </c:pt>
                <c:pt idx="136">
                  <c:v>1361</c:v>
                </c:pt>
                <c:pt idx="137" formatCode="General">
                  <c:v>2230</c:v>
                </c:pt>
                <c:pt idx="138">
                  <c:v>329</c:v>
                </c:pt>
                <c:pt idx="139" formatCode="General">
                  <c:v>1763</c:v>
                </c:pt>
                <c:pt idx="140">
                  <c:v>2139</c:v>
                </c:pt>
                <c:pt idx="141" formatCode="General">
                  <c:v>158</c:v>
                </c:pt>
                <c:pt idx="142">
                  <c:v>285</c:v>
                </c:pt>
                <c:pt idx="143" formatCode="General">
                  <c:v>586</c:v>
                </c:pt>
                <c:pt idx="144">
                  <c:v>639</c:v>
                </c:pt>
                <c:pt idx="145" formatCode="General">
                  <c:v>2778</c:v>
                </c:pt>
                <c:pt idx="146">
                  <c:v>494</c:v>
                </c:pt>
                <c:pt idx="147" formatCode="General">
                  <c:v>377</c:v>
                </c:pt>
                <c:pt idx="148">
                  <c:v>329</c:v>
                </c:pt>
                <c:pt idx="149" formatCode="General">
                  <c:v>549</c:v>
                </c:pt>
                <c:pt idx="150">
                  <c:v>509</c:v>
                </c:pt>
                <c:pt idx="151" formatCode="General">
                  <c:v>1110</c:v>
                </c:pt>
                <c:pt idx="152">
                  <c:v>33157</c:v>
                </c:pt>
                <c:pt idx="153" formatCode="General">
                  <c:v>14503</c:v>
                </c:pt>
                <c:pt idx="154">
                  <c:v>1516</c:v>
                </c:pt>
                <c:pt idx="155" formatCode="General">
                  <c:v>1647</c:v>
                </c:pt>
              </c:numCache>
            </c:numRef>
          </c:yVal>
          <c:smooth val="0"/>
        </c:ser>
        <c:ser>
          <c:idx val="13"/>
          <c:order val="12"/>
          <c:tx>
            <c:v>IRSA TAP/AS</c:v>
          </c:tx>
          <c:spPr>
            <a:ln w="28575">
              <a:noFill/>
            </a:ln>
          </c:spPr>
          <c:xVal>
            <c:numRef>
              <c:f>Sheet1!$B$3:$ZZ$3</c:f>
              <c:numCache>
                <c:formatCode>m/d/yyyy</c:formatCode>
                <c:ptCount val="701"/>
                <c:pt idx="0">
                  <c:v>41931</c:v>
                </c:pt>
                <c:pt idx="1">
                  <c:v>41938</c:v>
                </c:pt>
                <c:pt idx="2">
                  <c:v>41945</c:v>
                </c:pt>
                <c:pt idx="3">
                  <c:v>41952</c:v>
                </c:pt>
                <c:pt idx="4">
                  <c:v>41959</c:v>
                </c:pt>
                <c:pt idx="5">
                  <c:v>41966</c:v>
                </c:pt>
                <c:pt idx="6">
                  <c:v>41973</c:v>
                </c:pt>
                <c:pt idx="7">
                  <c:v>41980</c:v>
                </c:pt>
                <c:pt idx="8">
                  <c:v>41987</c:v>
                </c:pt>
                <c:pt idx="9">
                  <c:v>41994</c:v>
                </c:pt>
                <c:pt idx="10">
                  <c:v>42001</c:v>
                </c:pt>
                <c:pt idx="11">
                  <c:v>42008</c:v>
                </c:pt>
                <c:pt idx="12">
                  <c:v>42015</c:v>
                </c:pt>
                <c:pt idx="13">
                  <c:v>42022</c:v>
                </c:pt>
                <c:pt idx="14">
                  <c:v>42029</c:v>
                </c:pt>
                <c:pt idx="15">
                  <c:v>42036</c:v>
                </c:pt>
                <c:pt idx="16">
                  <c:v>42043</c:v>
                </c:pt>
                <c:pt idx="17">
                  <c:v>42050</c:v>
                </c:pt>
                <c:pt idx="18">
                  <c:v>42057</c:v>
                </c:pt>
                <c:pt idx="19">
                  <c:v>42064</c:v>
                </c:pt>
                <c:pt idx="20">
                  <c:v>42071</c:v>
                </c:pt>
                <c:pt idx="21">
                  <c:v>42078</c:v>
                </c:pt>
                <c:pt idx="22">
                  <c:v>42085</c:v>
                </c:pt>
                <c:pt idx="23">
                  <c:v>42092</c:v>
                </c:pt>
                <c:pt idx="24">
                  <c:v>42099</c:v>
                </c:pt>
                <c:pt idx="25">
                  <c:v>42106</c:v>
                </c:pt>
                <c:pt idx="26">
                  <c:v>42113</c:v>
                </c:pt>
                <c:pt idx="27">
                  <c:v>42120</c:v>
                </c:pt>
                <c:pt idx="28">
                  <c:v>42127</c:v>
                </c:pt>
                <c:pt idx="29">
                  <c:v>42134</c:v>
                </c:pt>
                <c:pt idx="30">
                  <c:v>42141</c:v>
                </c:pt>
                <c:pt idx="31">
                  <c:v>42148</c:v>
                </c:pt>
                <c:pt idx="32">
                  <c:v>42155</c:v>
                </c:pt>
                <c:pt idx="33">
                  <c:v>42162</c:v>
                </c:pt>
                <c:pt idx="34">
                  <c:v>42169</c:v>
                </c:pt>
                <c:pt idx="35">
                  <c:v>42176</c:v>
                </c:pt>
                <c:pt idx="36">
                  <c:v>42183</c:v>
                </c:pt>
                <c:pt idx="37">
                  <c:v>42190</c:v>
                </c:pt>
                <c:pt idx="38">
                  <c:v>42197</c:v>
                </c:pt>
                <c:pt idx="39">
                  <c:v>42204</c:v>
                </c:pt>
                <c:pt idx="40">
                  <c:v>42211</c:v>
                </c:pt>
                <c:pt idx="41">
                  <c:v>42218</c:v>
                </c:pt>
                <c:pt idx="42">
                  <c:v>42225</c:v>
                </c:pt>
                <c:pt idx="43">
                  <c:v>42232</c:v>
                </c:pt>
                <c:pt idx="44">
                  <c:v>42239</c:v>
                </c:pt>
                <c:pt idx="45">
                  <c:v>42246</c:v>
                </c:pt>
                <c:pt idx="46">
                  <c:v>42253</c:v>
                </c:pt>
                <c:pt idx="47">
                  <c:v>42260</c:v>
                </c:pt>
                <c:pt idx="48">
                  <c:v>42267</c:v>
                </c:pt>
                <c:pt idx="49">
                  <c:v>42274</c:v>
                </c:pt>
                <c:pt idx="50">
                  <c:v>42281</c:v>
                </c:pt>
                <c:pt idx="51">
                  <c:v>42288</c:v>
                </c:pt>
                <c:pt idx="52">
                  <c:v>42295</c:v>
                </c:pt>
                <c:pt idx="53">
                  <c:v>42302</c:v>
                </c:pt>
                <c:pt idx="54">
                  <c:v>42309</c:v>
                </c:pt>
                <c:pt idx="55">
                  <c:v>42316</c:v>
                </c:pt>
                <c:pt idx="56">
                  <c:v>42323</c:v>
                </c:pt>
                <c:pt idx="57">
                  <c:v>42330</c:v>
                </c:pt>
                <c:pt idx="58">
                  <c:v>42337</c:v>
                </c:pt>
                <c:pt idx="59">
                  <c:v>42344</c:v>
                </c:pt>
                <c:pt idx="60">
                  <c:v>42351</c:v>
                </c:pt>
                <c:pt idx="61">
                  <c:v>42358</c:v>
                </c:pt>
                <c:pt idx="62">
                  <c:v>42365</c:v>
                </c:pt>
                <c:pt idx="63">
                  <c:v>42372</c:v>
                </c:pt>
                <c:pt idx="64">
                  <c:v>42379</c:v>
                </c:pt>
                <c:pt idx="65">
                  <c:v>42386</c:v>
                </c:pt>
                <c:pt idx="66">
                  <c:v>42393</c:v>
                </c:pt>
                <c:pt idx="67">
                  <c:v>42400</c:v>
                </c:pt>
                <c:pt idx="68">
                  <c:v>42407</c:v>
                </c:pt>
                <c:pt idx="69">
                  <c:v>42414</c:v>
                </c:pt>
                <c:pt idx="70">
                  <c:v>42421</c:v>
                </c:pt>
                <c:pt idx="71">
                  <c:v>42428</c:v>
                </c:pt>
                <c:pt idx="72">
                  <c:v>42435</c:v>
                </c:pt>
                <c:pt idx="73">
                  <c:v>42442</c:v>
                </c:pt>
                <c:pt idx="74">
                  <c:v>42449</c:v>
                </c:pt>
                <c:pt idx="75">
                  <c:v>42456</c:v>
                </c:pt>
                <c:pt idx="76">
                  <c:v>42463</c:v>
                </c:pt>
                <c:pt idx="77">
                  <c:v>42470</c:v>
                </c:pt>
                <c:pt idx="78">
                  <c:v>42477</c:v>
                </c:pt>
                <c:pt idx="79">
                  <c:v>42484</c:v>
                </c:pt>
                <c:pt idx="80">
                  <c:v>42491</c:v>
                </c:pt>
                <c:pt idx="81">
                  <c:v>42498</c:v>
                </c:pt>
                <c:pt idx="82">
                  <c:v>42505</c:v>
                </c:pt>
                <c:pt idx="83">
                  <c:v>42512</c:v>
                </c:pt>
                <c:pt idx="84">
                  <c:v>42519</c:v>
                </c:pt>
                <c:pt idx="85">
                  <c:v>42526</c:v>
                </c:pt>
                <c:pt idx="86">
                  <c:v>42533</c:v>
                </c:pt>
                <c:pt idx="87">
                  <c:v>42540</c:v>
                </c:pt>
                <c:pt idx="88">
                  <c:v>42547</c:v>
                </c:pt>
                <c:pt idx="89">
                  <c:v>42554</c:v>
                </c:pt>
                <c:pt idx="90">
                  <c:v>42561</c:v>
                </c:pt>
                <c:pt idx="91">
                  <c:v>42568</c:v>
                </c:pt>
                <c:pt idx="92">
                  <c:v>42575</c:v>
                </c:pt>
                <c:pt idx="93">
                  <c:v>42582</c:v>
                </c:pt>
                <c:pt idx="94">
                  <c:v>42589</c:v>
                </c:pt>
                <c:pt idx="95">
                  <c:v>42596</c:v>
                </c:pt>
                <c:pt idx="96">
                  <c:v>42603</c:v>
                </c:pt>
                <c:pt idx="97">
                  <c:v>42610</c:v>
                </c:pt>
                <c:pt idx="98">
                  <c:v>42617</c:v>
                </c:pt>
                <c:pt idx="99">
                  <c:v>42624</c:v>
                </c:pt>
                <c:pt idx="100">
                  <c:v>42631</c:v>
                </c:pt>
                <c:pt idx="101">
                  <c:v>42638</c:v>
                </c:pt>
                <c:pt idx="102">
                  <c:v>42645</c:v>
                </c:pt>
                <c:pt idx="103">
                  <c:v>42652</c:v>
                </c:pt>
                <c:pt idx="104">
                  <c:v>42659</c:v>
                </c:pt>
                <c:pt idx="105">
                  <c:v>42666</c:v>
                </c:pt>
                <c:pt idx="106">
                  <c:v>42673</c:v>
                </c:pt>
                <c:pt idx="107">
                  <c:v>42680</c:v>
                </c:pt>
                <c:pt idx="108">
                  <c:v>42687</c:v>
                </c:pt>
                <c:pt idx="109">
                  <c:v>42694</c:v>
                </c:pt>
                <c:pt idx="110">
                  <c:v>42701</c:v>
                </c:pt>
                <c:pt idx="111">
                  <c:v>42708</c:v>
                </c:pt>
                <c:pt idx="112">
                  <c:v>42715</c:v>
                </c:pt>
                <c:pt idx="113">
                  <c:v>42722</c:v>
                </c:pt>
                <c:pt idx="114">
                  <c:v>42729</c:v>
                </c:pt>
                <c:pt idx="115">
                  <c:v>42736</c:v>
                </c:pt>
                <c:pt idx="116">
                  <c:v>42743</c:v>
                </c:pt>
                <c:pt idx="117">
                  <c:v>42750</c:v>
                </c:pt>
                <c:pt idx="118">
                  <c:v>42757</c:v>
                </c:pt>
                <c:pt idx="119">
                  <c:v>42764</c:v>
                </c:pt>
                <c:pt idx="120">
                  <c:v>42771</c:v>
                </c:pt>
                <c:pt idx="121">
                  <c:v>42778</c:v>
                </c:pt>
                <c:pt idx="122">
                  <c:v>42785</c:v>
                </c:pt>
                <c:pt idx="123">
                  <c:v>42792</c:v>
                </c:pt>
                <c:pt idx="124">
                  <c:v>42799</c:v>
                </c:pt>
                <c:pt idx="125">
                  <c:v>42806</c:v>
                </c:pt>
                <c:pt idx="126">
                  <c:v>42813</c:v>
                </c:pt>
                <c:pt idx="127">
                  <c:v>42820</c:v>
                </c:pt>
                <c:pt idx="128">
                  <c:v>42827</c:v>
                </c:pt>
                <c:pt idx="129">
                  <c:v>42834</c:v>
                </c:pt>
                <c:pt idx="130">
                  <c:v>42841</c:v>
                </c:pt>
                <c:pt idx="131">
                  <c:v>42848</c:v>
                </c:pt>
                <c:pt idx="132">
                  <c:v>42855</c:v>
                </c:pt>
                <c:pt idx="133">
                  <c:v>42862</c:v>
                </c:pt>
                <c:pt idx="134">
                  <c:v>42869</c:v>
                </c:pt>
                <c:pt idx="135">
                  <c:v>42876</c:v>
                </c:pt>
                <c:pt idx="136">
                  <c:v>42883</c:v>
                </c:pt>
                <c:pt idx="137">
                  <c:v>42890</c:v>
                </c:pt>
                <c:pt idx="138">
                  <c:v>42897</c:v>
                </c:pt>
                <c:pt idx="139">
                  <c:v>42904</c:v>
                </c:pt>
                <c:pt idx="140">
                  <c:v>42911</c:v>
                </c:pt>
                <c:pt idx="141">
                  <c:v>42918</c:v>
                </c:pt>
                <c:pt idx="142">
                  <c:v>42925</c:v>
                </c:pt>
                <c:pt idx="143">
                  <c:v>42932</c:v>
                </c:pt>
                <c:pt idx="144">
                  <c:v>42939</c:v>
                </c:pt>
                <c:pt idx="145">
                  <c:v>42946</c:v>
                </c:pt>
                <c:pt idx="146">
                  <c:v>42953</c:v>
                </c:pt>
                <c:pt idx="147">
                  <c:v>42960</c:v>
                </c:pt>
                <c:pt idx="148">
                  <c:v>42967</c:v>
                </c:pt>
                <c:pt idx="149">
                  <c:v>42974</c:v>
                </c:pt>
                <c:pt idx="150">
                  <c:v>42981</c:v>
                </c:pt>
                <c:pt idx="151">
                  <c:v>42988</c:v>
                </c:pt>
                <c:pt idx="152">
                  <c:v>42995</c:v>
                </c:pt>
                <c:pt idx="153">
                  <c:v>43002</c:v>
                </c:pt>
                <c:pt idx="154">
                  <c:v>43009</c:v>
                </c:pt>
                <c:pt idx="155">
                  <c:v>43016</c:v>
                </c:pt>
                <c:pt idx="156">
                  <c:v>43023</c:v>
                </c:pt>
                <c:pt idx="157">
                  <c:v>43030</c:v>
                </c:pt>
              </c:numCache>
            </c:numRef>
          </c:xVal>
          <c:yVal>
            <c:numRef>
              <c:f>Sheet1!$B$22:$ZZ$22</c:f>
              <c:numCache>
                <c:formatCode>#,##0</c:formatCode>
                <c:ptCount val="701"/>
                <c:pt idx="11">
                  <c:v>0.2857142857142857</c:v>
                </c:pt>
                <c:pt idx="12">
                  <c:v>0</c:v>
                </c:pt>
                <c:pt idx="13">
                  <c:v>0.7142857142857143</c:v>
                </c:pt>
                <c:pt idx="14">
                  <c:v>0.14285714285714285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1.7142857142857142</c:v>
                </c:pt>
                <c:pt idx="19">
                  <c:v>0</c:v>
                </c:pt>
                <c:pt idx="20">
                  <c:v>0.5714285714285714</c:v>
                </c:pt>
                <c:pt idx="21">
                  <c:v>0.5714285714285714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1.4285714285714286</c:v>
                </c:pt>
                <c:pt idx="26">
                  <c:v>3.8571428571428572</c:v>
                </c:pt>
                <c:pt idx="27">
                  <c:v>0</c:v>
                </c:pt>
                <c:pt idx="28">
                  <c:v>2.5714285714285716</c:v>
                </c:pt>
                <c:pt idx="29">
                  <c:v>0</c:v>
                </c:pt>
                <c:pt idx="30">
                  <c:v>0.14285714285714285</c:v>
                </c:pt>
                <c:pt idx="31">
                  <c:v>0.2857142857142857</c:v>
                </c:pt>
                <c:pt idx="32">
                  <c:v>0</c:v>
                </c:pt>
                <c:pt idx="33">
                  <c:v>0.5714285714285714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0.14285714285714285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0.14285714285714285</c:v>
                </c:pt>
                <c:pt idx="42">
                  <c:v>0.5714285714285714</c:v>
                </c:pt>
                <c:pt idx="43">
                  <c:v>0</c:v>
                </c:pt>
                <c:pt idx="44">
                  <c:v>0.5714285714285714</c:v>
                </c:pt>
                <c:pt idx="45">
                  <c:v>4.2857142857142856</c:v>
                </c:pt>
                <c:pt idx="46">
                  <c:v>0.5714285714285714</c:v>
                </c:pt>
                <c:pt idx="47">
                  <c:v>2.7142857142857144</c:v>
                </c:pt>
                <c:pt idx="48">
                  <c:v>0</c:v>
                </c:pt>
                <c:pt idx="49">
                  <c:v>0</c:v>
                </c:pt>
                <c:pt idx="59">
                  <c:v>8</c:v>
                </c:pt>
                <c:pt idx="60">
                  <c:v>13.71</c:v>
                </c:pt>
                <c:pt idx="61">
                  <c:v>8.57</c:v>
                </c:pt>
                <c:pt idx="62">
                  <c:v>10.14</c:v>
                </c:pt>
                <c:pt idx="63">
                  <c:v>6</c:v>
                </c:pt>
                <c:pt idx="64">
                  <c:v>10</c:v>
                </c:pt>
                <c:pt idx="65">
                  <c:v>30</c:v>
                </c:pt>
                <c:pt idx="66">
                  <c:v>14</c:v>
                </c:pt>
                <c:pt idx="67">
                  <c:v>11</c:v>
                </c:pt>
                <c:pt idx="68">
                  <c:v>12</c:v>
                </c:pt>
                <c:pt idx="69">
                  <c:v>24</c:v>
                </c:pt>
                <c:pt idx="70">
                  <c:v>16</c:v>
                </c:pt>
                <c:pt idx="71">
                  <c:v>15</c:v>
                </c:pt>
                <c:pt idx="72">
                  <c:v>27</c:v>
                </c:pt>
                <c:pt idx="73">
                  <c:v>12</c:v>
                </c:pt>
                <c:pt idx="74">
                  <c:v>12</c:v>
                </c:pt>
                <c:pt idx="75">
                  <c:v>14</c:v>
                </c:pt>
                <c:pt idx="76">
                  <c:v>15</c:v>
                </c:pt>
                <c:pt idx="77">
                  <c:v>7</c:v>
                </c:pt>
                <c:pt idx="78">
                  <c:v>8</c:v>
                </c:pt>
                <c:pt idx="79">
                  <c:v>9</c:v>
                </c:pt>
                <c:pt idx="80">
                  <c:v>8</c:v>
                </c:pt>
                <c:pt idx="81">
                  <c:v>729</c:v>
                </c:pt>
                <c:pt idx="82">
                  <c:v>9.57</c:v>
                </c:pt>
                <c:pt idx="83">
                  <c:v>8</c:v>
                </c:pt>
                <c:pt idx="84">
                  <c:v>9</c:v>
                </c:pt>
                <c:pt idx="85">
                  <c:v>7</c:v>
                </c:pt>
                <c:pt idx="86">
                  <c:v>9</c:v>
                </c:pt>
                <c:pt idx="87">
                  <c:v>8</c:v>
                </c:pt>
                <c:pt idx="88">
                  <c:v>6</c:v>
                </c:pt>
                <c:pt idx="89">
                  <c:v>7</c:v>
                </c:pt>
                <c:pt idx="90">
                  <c:v>8</c:v>
                </c:pt>
                <c:pt idx="91">
                  <c:v>7</c:v>
                </c:pt>
                <c:pt idx="92">
                  <c:v>325</c:v>
                </c:pt>
                <c:pt idx="93">
                  <c:v>7</c:v>
                </c:pt>
                <c:pt idx="94" formatCode="General">
                  <c:v>6</c:v>
                </c:pt>
                <c:pt idx="95">
                  <c:v>3</c:v>
                </c:pt>
                <c:pt idx="96">
                  <c:v>316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2</c:v>
                </c:pt>
                <c:pt idx="102">
                  <c:v>7</c:v>
                </c:pt>
                <c:pt idx="103">
                  <c:v>7</c:v>
                </c:pt>
                <c:pt idx="104">
                  <c:v>5</c:v>
                </c:pt>
                <c:pt idx="105" formatCode="General">
                  <c:v>8</c:v>
                </c:pt>
                <c:pt idx="106">
                  <c:v>9</c:v>
                </c:pt>
                <c:pt idx="107">
                  <c:v>31</c:v>
                </c:pt>
                <c:pt idx="108">
                  <c:v>12</c:v>
                </c:pt>
                <c:pt idx="109">
                  <c:v>6</c:v>
                </c:pt>
                <c:pt idx="110">
                  <c:v>18</c:v>
                </c:pt>
                <c:pt idx="111">
                  <c:v>11</c:v>
                </c:pt>
                <c:pt idx="112">
                  <c:v>28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9</c:v>
                </c:pt>
                <c:pt idx="121">
                  <c:v>42</c:v>
                </c:pt>
                <c:pt idx="122">
                  <c:v>9</c:v>
                </c:pt>
                <c:pt idx="123">
                  <c:v>11</c:v>
                </c:pt>
                <c:pt idx="124">
                  <c:v>8</c:v>
                </c:pt>
                <c:pt idx="125">
                  <c:v>9</c:v>
                </c:pt>
                <c:pt idx="126">
                  <c:v>8</c:v>
                </c:pt>
                <c:pt idx="127">
                  <c:v>18</c:v>
                </c:pt>
                <c:pt idx="128">
                  <c:v>14</c:v>
                </c:pt>
                <c:pt idx="129">
                  <c:v>10</c:v>
                </c:pt>
                <c:pt idx="130">
                  <c:v>7</c:v>
                </c:pt>
                <c:pt idx="132">
                  <c:v>60</c:v>
                </c:pt>
                <c:pt idx="133">
                  <c:v>46</c:v>
                </c:pt>
                <c:pt idx="134">
                  <c:v>8</c:v>
                </c:pt>
                <c:pt idx="135">
                  <c:v>14</c:v>
                </c:pt>
                <c:pt idx="136">
                  <c:v>17</c:v>
                </c:pt>
                <c:pt idx="137">
                  <c:v>25</c:v>
                </c:pt>
                <c:pt idx="138">
                  <c:v>21</c:v>
                </c:pt>
                <c:pt idx="139">
                  <c:v>17</c:v>
                </c:pt>
                <c:pt idx="140">
                  <c:v>42</c:v>
                </c:pt>
                <c:pt idx="141">
                  <c:v>7</c:v>
                </c:pt>
                <c:pt idx="142">
                  <c:v>9</c:v>
                </c:pt>
                <c:pt idx="143">
                  <c:v>26</c:v>
                </c:pt>
                <c:pt idx="144">
                  <c:v>20</c:v>
                </c:pt>
                <c:pt idx="145">
                  <c:v>47</c:v>
                </c:pt>
                <c:pt idx="146">
                  <c:v>16</c:v>
                </c:pt>
                <c:pt idx="147">
                  <c:v>15</c:v>
                </c:pt>
                <c:pt idx="148">
                  <c:v>15</c:v>
                </c:pt>
                <c:pt idx="149">
                  <c:v>16</c:v>
                </c:pt>
                <c:pt idx="150">
                  <c:v>18</c:v>
                </c:pt>
                <c:pt idx="151">
                  <c:v>18</c:v>
                </c:pt>
                <c:pt idx="152">
                  <c:v>4</c:v>
                </c:pt>
                <c:pt idx="153">
                  <c:v>5</c:v>
                </c:pt>
                <c:pt idx="154">
                  <c:v>11</c:v>
                </c:pt>
                <c:pt idx="155">
                  <c:v>15</c:v>
                </c:pt>
              </c:numCache>
            </c:numRef>
          </c:yVal>
          <c:smooth val="0"/>
        </c:ser>
        <c:ser>
          <c:idx val="11"/>
          <c:order val="13"/>
          <c:tx>
            <c:v>NED Cone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Sheet1!$I$3:$ZZ$3</c:f>
              <c:numCache>
                <c:formatCode>m/d/yyyy</c:formatCode>
                <c:ptCount val="694"/>
                <c:pt idx="0">
                  <c:v>41980</c:v>
                </c:pt>
                <c:pt idx="1">
                  <c:v>41987</c:v>
                </c:pt>
                <c:pt idx="2">
                  <c:v>41994</c:v>
                </c:pt>
                <c:pt idx="3">
                  <c:v>42001</c:v>
                </c:pt>
                <c:pt idx="4">
                  <c:v>42008</c:v>
                </c:pt>
                <c:pt idx="5">
                  <c:v>42015</c:v>
                </c:pt>
                <c:pt idx="6">
                  <c:v>42022</c:v>
                </c:pt>
                <c:pt idx="7">
                  <c:v>42029</c:v>
                </c:pt>
                <c:pt idx="8">
                  <c:v>42036</c:v>
                </c:pt>
                <c:pt idx="9">
                  <c:v>42043</c:v>
                </c:pt>
                <c:pt idx="10">
                  <c:v>42050</c:v>
                </c:pt>
                <c:pt idx="11">
                  <c:v>42057</c:v>
                </c:pt>
                <c:pt idx="12">
                  <c:v>42064</c:v>
                </c:pt>
                <c:pt idx="13">
                  <c:v>42071</c:v>
                </c:pt>
                <c:pt idx="14">
                  <c:v>42078</c:v>
                </c:pt>
                <c:pt idx="15">
                  <c:v>42085</c:v>
                </c:pt>
                <c:pt idx="16">
                  <c:v>42092</c:v>
                </c:pt>
                <c:pt idx="17">
                  <c:v>42099</c:v>
                </c:pt>
                <c:pt idx="18">
                  <c:v>42106</c:v>
                </c:pt>
                <c:pt idx="19">
                  <c:v>42113</c:v>
                </c:pt>
                <c:pt idx="20">
                  <c:v>42120</c:v>
                </c:pt>
                <c:pt idx="21">
                  <c:v>42127</c:v>
                </c:pt>
                <c:pt idx="22">
                  <c:v>42134</c:v>
                </c:pt>
                <c:pt idx="23">
                  <c:v>42141</c:v>
                </c:pt>
                <c:pt idx="24">
                  <c:v>42148</c:v>
                </c:pt>
                <c:pt idx="25">
                  <c:v>42155</c:v>
                </c:pt>
                <c:pt idx="26">
                  <c:v>42162</c:v>
                </c:pt>
                <c:pt idx="27">
                  <c:v>42169</c:v>
                </c:pt>
                <c:pt idx="28">
                  <c:v>42176</c:v>
                </c:pt>
                <c:pt idx="29">
                  <c:v>42183</c:v>
                </c:pt>
                <c:pt idx="30">
                  <c:v>42190</c:v>
                </c:pt>
                <c:pt idx="31">
                  <c:v>42197</c:v>
                </c:pt>
                <c:pt idx="32">
                  <c:v>42204</c:v>
                </c:pt>
                <c:pt idx="33">
                  <c:v>42211</c:v>
                </c:pt>
                <c:pt idx="34">
                  <c:v>42218</c:v>
                </c:pt>
                <c:pt idx="35">
                  <c:v>42225</c:v>
                </c:pt>
                <c:pt idx="36">
                  <c:v>42232</c:v>
                </c:pt>
                <c:pt idx="37">
                  <c:v>42239</c:v>
                </c:pt>
                <c:pt idx="38">
                  <c:v>42246</c:v>
                </c:pt>
                <c:pt idx="39">
                  <c:v>42253</c:v>
                </c:pt>
                <c:pt idx="40">
                  <c:v>42260</c:v>
                </c:pt>
                <c:pt idx="41">
                  <c:v>42267</c:v>
                </c:pt>
                <c:pt idx="42">
                  <c:v>42274</c:v>
                </c:pt>
                <c:pt idx="43">
                  <c:v>42281</c:v>
                </c:pt>
                <c:pt idx="44">
                  <c:v>42288</c:v>
                </c:pt>
                <c:pt idx="45">
                  <c:v>42295</c:v>
                </c:pt>
                <c:pt idx="46">
                  <c:v>42302</c:v>
                </c:pt>
                <c:pt idx="47">
                  <c:v>42309</c:v>
                </c:pt>
                <c:pt idx="48">
                  <c:v>42316</c:v>
                </c:pt>
                <c:pt idx="49">
                  <c:v>42323</c:v>
                </c:pt>
                <c:pt idx="50">
                  <c:v>42330</c:v>
                </c:pt>
                <c:pt idx="51">
                  <c:v>42337</c:v>
                </c:pt>
                <c:pt idx="52">
                  <c:v>42344</c:v>
                </c:pt>
                <c:pt idx="53">
                  <c:v>42351</c:v>
                </c:pt>
                <c:pt idx="54">
                  <c:v>42358</c:v>
                </c:pt>
                <c:pt idx="55">
                  <c:v>42365</c:v>
                </c:pt>
                <c:pt idx="56">
                  <c:v>42372</c:v>
                </c:pt>
                <c:pt idx="57">
                  <c:v>42379</c:v>
                </c:pt>
                <c:pt idx="58">
                  <c:v>42386</c:v>
                </c:pt>
                <c:pt idx="59">
                  <c:v>42393</c:v>
                </c:pt>
                <c:pt idx="60">
                  <c:v>42400</c:v>
                </c:pt>
                <c:pt idx="61">
                  <c:v>42407</c:v>
                </c:pt>
                <c:pt idx="62">
                  <c:v>42414</c:v>
                </c:pt>
                <c:pt idx="63">
                  <c:v>42421</c:v>
                </c:pt>
                <c:pt idx="64">
                  <c:v>42428</c:v>
                </c:pt>
                <c:pt idx="65">
                  <c:v>42435</c:v>
                </c:pt>
                <c:pt idx="66">
                  <c:v>42442</c:v>
                </c:pt>
                <c:pt idx="67">
                  <c:v>42449</c:v>
                </c:pt>
                <c:pt idx="68">
                  <c:v>42456</c:v>
                </c:pt>
                <c:pt idx="69">
                  <c:v>42463</c:v>
                </c:pt>
                <c:pt idx="70">
                  <c:v>42470</c:v>
                </c:pt>
                <c:pt idx="71">
                  <c:v>42477</c:v>
                </c:pt>
                <c:pt idx="72">
                  <c:v>42484</c:v>
                </c:pt>
                <c:pt idx="73">
                  <c:v>42491</c:v>
                </c:pt>
                <c:pt idx="74">
                  <c:v>42498</c:v>
                </c:pt>
                <c:pt idx="75">
                  <c:v>42505</c:v>
                </c:pt>
                <c:pt idx="76">
                  <c:v>42512</c:v>
                </c:pt>
                <c:pt idx="77">
                  <c:v>42519</c:v>
                </c:pt>
                <c:pt idx="78">
                  <c:v>42526</c:v>
                </c:pt>
                <c:pt idx="79">
                  <c:v>42533</c:v>
                </c:pt>
                <c:pt idx="80">
                  <c:v>42540</c:v>
                </c:pt>
                <c:pt idx="81">
                  <c:v>42547</c:v>
                </c:pt>
                <c:pt idx="82">
                  <c:v>42554</c:v>
                </c:pt>
                <c:pt idx="83">
                  <c:v>42561</c:v>
                </c:pt>
                <c:pt idx="84">
                  <c:v>42568</c:v>
                </c:pt>
                <c:pt idx="85">
                  <c:v>42575</c:v>
                </c:pt>
                <c:pt idx="86">
                  <c:v>42582</c:v>
                </c:pt>
                <c:pt idx="87">
                  <c:v>42589</c:v>
                </c:pt>
                <c:pt idx="88">
                  <c:v>42596</c:v>
                </c:pt>
                <c:pt idx="89">
                  <c:v>42603</c:v>
                </c:pt>
                <c:pt idx="90">
                  <c:v>42610</c:v>
                </c:pt>
                <c:pt idx="91">
                  <c:v>42617</c:v>
                </c:pt>
                <c:pt idx="92">
                  <c:v>42624</c:v>
                </c:pt>
                <c:pt idx="93">
                  <c:v>42631</c:v>
                </c:pt>
                <c:pt idx="94">
                  <c:v>42638</c:v>
                </c:pt>
                <c:pt idx="95">
                  <c:v>42645</c:v>
                </c:pt>
                <c:pt idx="96">
                  <c:v>42652</c:v>
                </c:pt>
                <c:pt idx="97">
                  <c:v>42659</c:v>
                </c:pt>
                <c:pt idx="98">
                  <c:v>42666</c:v>
                </c:pt>
                <c:pt idx="99">
                  <c:v>42673</c:v>
                </c:pt>
                <c:pt idx="100">
                  <c:v>42680</c:v>
                </c:pt>
                <c:pt idx="101">
                  <c:v>42687</c:v>
                </c:pt>
                <c:pt idx="102">
                  <c:v>42694</c:v>
                </c:pt>
                <c:pt idx="103">
                  <c:v>42701</c:v>
                </c:pt>
                <c:pt idx="104">
                  <c:v>42708</c:v>
                </c:pt>
                <c:pt idx="105">
                  <c:v>42715</c:v>
                </c:pt>
                <c:pt idx="106">
                  <c:v>42722</c:v>
                </c:pt>
                <c:pt idx="107">
                  <c:v>42729</c:v>
                </c:pt>
                <c:pt idx="108">
                  <c:v>42736</c:v>
                </c:pt>
                <c:pt idx="109">
                  <c:v>42743</c:v>
                </c:pt>
                <c:pt idx="110">
                  <c:v>42750</c:v>
                </c:pt>
                <c:pt idx="111">
                  <c:v>42757</c:v>
                </c:pt>
                <c:pt idx="112">
                  <c:v>42764</c:v>
                </c:pt>
                <c:pt idx="113">
                  <c:v>42771</c:v>
                </c:pt>
                <c:pt idx="114">
                  <c:v>42778</c:v>
                </c:pt>
                <c:pt idx="115">
                  <c:v>42785</c:v>
                </c:pt>
                <c:pt idx="116">
                  <c:v>42792</c:v>
                </c:pt>
                <c:pt idx="117">
                  <c:v>42799</c:v>
                </c:pt>
                <c:pt idx="118">
                  <c:v>42806</c:v>
                </c:pt>
                <c:pt idx="119">
                  <c:v>42813</c:v>
                </c:pt>
                <c:pt idx="120">
                  <c:v>42820</c:v>
                </c:pt>
                <c:pt idx="121">
                  <c:v>42827</c:v>
                </c:pt>
                <c:pt idx="122">
                  <c:v>42834</c:v>
                </c:pt>
                <c:pt idx="123">
                  <c:v>42841</c:v>
                </c:pt>
                <c:pt idx="124">
                  <c:v>42848</c:v>
                </c:pt>
                <c:pt idx="125">
                  <c:v>42855</c:v>
                </c:pt>
                <c:pt idx="126">
                  <c:v>42862</c:v>
                </c:pt>
                <c:pt idx="127">
                  <c:v>42869</c:v>
                </c:pt>
                <c:pt idx="128">
                  <c:v>42876</c:v>
                </c:pt>
                <c:pt idx="129">
                  <c:v>42883</c:v>
                </c:pt>
                <c:pt idx="130">
                  <c:v>42890</c:v>
                </c:pt>
                <c:pt idx="131">
                  <c:v>42897</c:v>
                </c:pt>
                <c:pt idx="132">
                  <c:v>42904</c:v>
                </c:pt>
                <c:pt idx="133">
                  <c:v>42911</c:v>
                </c:pt>
                <c:pt idx="134">
                  <c:v>42918</c:v>
                </c:pt>
                <c:pt idx="135">
                  <c:v>42925</c:v>
                </c:pt>
                <c:pt idx="136">
                  <c:v>42932</c:v>
                </c:pt>
                <c:pt idx="137">
                  <c:v>42939</c:v>
                </c:pt>
                <c:pt idx="138">
                  <c:v>42946</c:v>
                </c:pt>
                <c:pt idx="139">
                  <c:v>42953</c:v>
                </c:pt>
                <c:pt idx="140">
                  <c:v>42960</c:v>
                </c:pt>
                <c:pt idx="141">
                  <c:v>42967</c:v>
                </c:pt>
                <c:pt idx="142">
                  <c:v>42974</c:v>
                </c:pt>
                <c:pt idx="143">
                  <c:v>42981</c:v>
                </c:pt>
                <c:pt idx="144">
                  <c:v>42988</c:v>
                </c:pt>
                <c:pt idx="145">
                  <c:v>42995</c:v>
                </c:pt>
                <c:pt idx="146">
                  <c:v>43002</c:v>
                </c:pt>
                <c:pt idx="147">
                  <c:v>43009</c:v>
                </c:pt>
                <c:pt idx="148">
                  <c:v>43016</c:v>
                </c:pt>
                <c:pt idx="149">
                  <c:v>43023</c:v>
                </c:pt>
                <c:pt idx="150">
                  <c:v>43030</c:v>
                </c:pt>
              </c:numCache>
            </c:numRef>
          </c:xVal>
          <c:yVal>
            <c:numRef>
              <c:f>Sheet1!$I$25:$ZZ$25</c:f>
              <c:numCache>
                <c:formatCode>General</c:formatCode>
                <c:ptCount val="694"/>
                <c:pt idx="0">
                  <c:v>104</c:v>
                </c:pt>
                <c:pt idx="1">
                  <c:v>93</c:v>
                </c:pt>
                <c:pt idx="2">
                  <c:v>96</c:v>
                </c:pt>
                <c:pt idx="3">
                  <c:v>63</c:v>
                </c:pt>
                <c:pt idx="4" formatCode="#,##0">
                  <c:v>60.571428571428569</c:v>
                </c:pt>
                <c:pt idx="5" formatCode="#,##0">
                  <c:v>77.285714285714292</c:v>
                </c:pt>
                <c:pt idx="6" formatCode="#,##0">
                  <c:v>65.285714285714292</c:v>
                </c:pt>
                <c:pt idx="7" formatCode="#,##0">
                  <c:v>75.285714285714292</c:v>
                </c:pt>
                <c:pt idx="8" formatCode="#,##0">
                  <c:v>84.142857142857139</c:v>
                </c:pt>
                <c:pt idx="9" formatCode="#,##0">
                  <c:v>81.571428571428569</c:v>
                </c:pt>
                <c:pt idx="10" formatCode="#,##0">
                  <c:v>85.571428571428569</c:v>
                </c:pt>
                <c:pt idx="11" formatCode="#,##0">
                  <c:v>72.285714285714292</c:v>
                </c:pt>
                <c:pt idx="12" formatCode="0">
                  <c:v>219.57142857142858</c:v>
                </c:pt>
                <c:pt idx="13" formatCode="0">
                  <c:v>75.571428571428569</c:v>
                </c:pt>
                <c:pt idx="14" formatCode="0">
                  <c:v>363.57142857142856</c:v>
                </c:pt>
                <c:pt idx="15" formatCode="0">
                  <c:v>214.85714285714286</c:v>
                </c:pt>
                <c:pt idx="16" formatCode="0">
                  <c:v>97.285714285714292</c:v>
                </c:pt>
                <c:pt idx="17" formatCode="0">
                  <c:v>598.14285714285711</c:v>
                </c:pt>
                <c:pt idx="18" formatCode="0">
                  <c:v>91.142857142857139</c:v>
                </c:pt>
                <c:pt idx="19" formatCode="0">
                  <c:v>64.714285714285708</c:v>
                </c:pt>
                <c:pt idx="20">
                  <c:v>78</c:v>
                </c:pt>
                <c:pt idx="21">
                  <c:v>72</c:v>
                </c:pt>
                <c:pt idx="22">
                  <c:v>69</c:v>
                </c:pt>
                <c:pt idx="23">
                  <c:v>65</c:v>
                </c:pt>
                <c:pt idx="24">
                  <c:v>68</c:v>
                </c:pt>
                <c:pt idx="25">
                  <c:v>60</c:v>
                </c:pt>
                <c:pt idx="26">
                  <c:v>112</c:v>
                </c:pt>
                <c:pt idx="27">
                  <c:v>58</c:v>
                </c:pt>
                <c:pt idx="28">
                  <c:v>168</c:v>
                </c:pt>
                <c:pt idx="29" formatCode="0">
                  <c:v>65.857142857142861</c:v>
                </c:pt>
                <c:pt idx="30" formatCode="0">
                  <c:v>67.857142857142861</c:v>
                </c:pt>
                <c:pt idx="31" formatCode="0">
                  <c:v>68</c:v>
                </c:pt>
                <c:pt idx="32" formatCode="0">
                  <c:v>63.714285714285715</c:v>
                </c:pt>
                <c:pt idx="33" formatCode="0">
                  <c:v>185.71428571428572</c:v>
                </c:pt>
                <c:pt idx="34" formatCode="0">
                  <c:v>66.571428571428569</c:v>
                </c:pt>
                <c:pt idx="35" formatCode="0">
                  <c:v>202.42857142857142</c:v>
                </c:pt>
                <c:pt idx="36" formatCode="0">
                  <c:v>51.142857142857146</c:v>
                </c:pt>
                <c:pt idx="37" formatCode="0">
                  <c:v>83.428571428571431</c:v>
                </c:pt>
                <c:pt idx="38" formatCode="0">
                  <c:v>54.857142857142854</c:v>
                </c:pt>
                <c:pt idx="39" formatCode="0">
                  <c:v>47.714285714285715</c:v>
                </c:pt>
                <c:pt idx="40" formatCode="0">
                  <c:v>52.142857142857146</c:v>
                </c:pt>
                <c:pt idx="41" formatCode="0">
                  <c:v>54.285714285714285</c:v>
                </c:pt>
                <c:pt idx="42" formatCode="0">
                  <c:v>73</c:v>
                </c:pt>
                <c:pt idx="43" formatCode="0">
                  <c:v>211.28571428571428</c:v>
                </c:pt>
                <c:pt idx="44" formatCode="0">
                  <c:v>64.857142857142861</c:v>
                </c:pt>
                <c:pt idx="45" formatCode="0">
                  <c:v>80.428571428571431</c:v>
                </c:pt>
                <c:pt idx="46" formatCode="0">
                  <c:v>89</c:v>
                </c:pt>
                <c:pt idx="47" formatCode="0">
                  <c:v>68.857142857142861</c:v>
                </c:pt>
                <c:pt idx="48" formatCode="0">
                  <c:v>94.857142857142861</c:v>
                </c:pt>
                <c:pt idx="49" formatCode="0">
                  <c:v>100.28571428571429</c:v>
                </c:pt>
                <c:pt idx="50" formatCode="0">
                  <c:v>88.142857142857139</c:v>
                </c:pt>
                <c:pt idx="51" formatCode="0">
                  <c:v>83.571428571428569</c:v>
                </c:pt>
                <c:pt idx="52" formatCode="0">
                  <c:v>118.14285714285714</c:v>
                </c:pt>
                <c:pt idx="53" formatCode="#,##0">
                  <c:v>85</c:v>
                </c:pt>
                <c:pt idx="54" formatCode="#,##0">
                  <c:v>55.428571428571431</c:v>
                </c:pt>
                <c:pt idx="55" formatCode="#,##0">
                  <c:v>51.428571428571431</c:v>
                </c:pt>
                <c:pt idx="56" formatCode="#,##0">
                  <c:v>73.285714285714292</c:v>
                </c:pt>
                <c:pt idx="57" formatCode="#,##0">
                  <c:v>84</c:v>
                </c:pt>
                <c:pt idx="58" formatCode="#,##0">
                  <c:v>204.85714285714286</c:v>
                </c:pt>
                <c:pt idx="59" formatCode="#,##0">
                  <c:v>48</c:v>
                </c:pt>
                <c:pt idx="60" formatCode="#,##0">
                  <c:v>97.285714285714292</c:v>
                </c:pt>
                <c:pt idx="61" formatCode="#,##0">
                  <c:v>57.285714285714285</c:v>
                </c:pt>
                <c:pt idx="62" formatCode="#,##0">
                  <c:v>53.714285714285715</c:v>
                </c:pt>
                <c:pt idx="63" formatCode="#,##0">
                  <c:v>74.571428571428569</c:v>
                </c:pt>
                <c:pt idx="64" formatCode="#,##0">
                  <c:v>265.42857142857144</c:v>
                </c:pt>
                <c:pt idx="65" formatCode="0">
                  <c:v>147.57142857142858</c:v>
                </c:pt>
                <c:pt idx="66" formatCode="0">
                  <c:v>334</c:v>
                </c:pt>
                <c:pt idx="67" formatCode="#,##0">
                  <c:v>17563.571428571428</c:v>
                </c:pt>
                <c:pt idx="68" formatCode="#,##0">
                  <c:v>126.28571428571429</c:v>
                </c:pt>
                <c:pt idx="69" formatCode="#,##0">
                  <c:v>4633</c:v>
                </c:pt>
                <c:pt idx="70" formatCode="#,##0">
                  <c:v>91.571428571428569</c:v>
                </c:pt>
                <c:pt idx="71" formatCode="#,##0">
                  <c:v>75.571428571428569</c:v>
                </c:pt>
                <c:pt idx="72" formatCode="#,##0">
                  <c:v>71.285714285714292</c:v>
                </c:pt>
                <c:pt idx="73" formatCode="#,##0">
                  <c:v>3394</c:v>
                </c:pt>
                <c:pt idx="74" formatCode="#,##0">
                  <c:v>12848.857142857143</c:v>
                </c:pt>
                <c:pt idx="75" formatCode="#,##0">
                  <c:v>85.571428571428569</c:v>
                </c:pt>
                <c:pt idx="76" formatCode="0">
                  <c:v>82.285714285714292</c:v>
                </c:pt>
                <c:pt idx="77" formatCode="0">
                  <c:v>94.428571428571431</c:v>
                </c:pt>
                <c:pt idx="78" formatCode="#,##0">
                  <c:v>94.142857142857139</c:v>
                </c:pt>
                <c:pt idx="79" formatCode="#,##0">
                  <c:v>149.71428571428572</c:v>
                </c:pt>
                <c:pt idx="80" formatCode="#,##0">
                  <c:v>74.142857142857139</c:v>
                </c:pt>
                <c:pt idx="81" formatCode="#,##0">
                  <c:v>121.42857142857143</c:v>
                </c:pt>
                <c:pt idx="82" formatCode="#,##0">
                  <c:v>211.42857142857142</c:v>
                </c:pt>
                <c:pt idx="83" formatCode="#,##0">
                  <c:v>289</c:v>
                </c:pt>
                <c:pt idx="84" formatCode="#,##0">
                  <c:v>3453.2857142857142</c:v>
                </c:pt>
                <c:pt idx="85" formatCode="#,##0">
                  <c:v>48.571428571428569</c:v>
                </c:pt>
                <c:pt idx="86" formatCode="#,##0">
                  <c:v>3258.4285714285716</c:v>
                </c:pt>
                <c:pt idx="87" formatCode="#,##0">
                  <c:v>103.14285714285714</c:v>
                </c:pt>
                <c:pt idx="88" formatCode="#,##0">
                  <c:v>72.428571428571431</c:v>
                </c:pt>
                <c:pt idx="89" formatCode="#,##0">
                  <c:v>75.714285714285708</c:v>
                </c:pt>
                <c:pt idx="90" formatCode="#,##0">
                  <c:v>100.85714285714286</c:v>
                </c:pt>
                <c:pt idx="91" formatCode="#,##0">
                  <c:v>3167.8571428571427</c:v>
                </c:pt>
                <c:pt idx="92" formatCode="#,##0">
                  <c:v>182.42857142857142</c:v>
                </c:pt>
                <c:pt idx="93" formatCode="#,##0">
                  <c:v>98</c:v>
                </c:pt>
                <c:pt idx="94" formatCode="#,##0">
                  <c:v>90.428571428571431</c:v>
                </c:pt>
                <c:pt idx="95" formatCode="#,##0">
                  <c:v>127.71428571428571</c:v>
                </c:pt>
                <c:pt idx="96" formatCode="#,##0">
                  <c:v>92.428571428571431</c:v>
                </c:pt>
                <c:pt idx="97" formatCode="#,##0">
                  <c:v>6401.5714285714284</c:v>
                </c:pt>
                <c:pt idx="98" formatCode="#,##0">
                  <c:v>5613.1428571428569</c:v>
                </c:pt>
                <c:pt idx="99" formatCode="#,##0">
                  <c:v>4391.8571428571431</c:v>
                </c:pt>
                <c:pt idx="100" formatCode="#,##0">
                  <c:v>79.428571428571431</c:v>
                </c:pt>
                <c:pt idx="101" formatCode="#,##0">
                  <c:v>73.142857142857139</c:v>
                </c:pt>
                <c:pt idx="102" formatCode="#,##0">
                  <c:v>77.571428571428569</c:v>
                </c:pt>
                <c:pt idx="103" formatCode="#,##0">
                  <c:v>127</c:v>
                </c:pt>
                <c:pt idx="104" formatCode="#,##0">
                  <c:v>156.14285714285714</c:v>
                </c:pt>
                <c:pt idx="105" formatCode="#,##0">
                  <c:v>95.714285714285708</c:v>
                </c:pt>
                <c:pt idx="106" formatCode="#,##0">
                  <c:v>3703.1428571428573</c:v>
                </c:pt>
                <c:pt idx="107" formatCode="#,##0">
                  <c:v>94094.71428571429</c:v>
                </c:pt>
                <c:pt idx="108" formatCode="#,##0">
                  <c:v>76</c:v>
                </c:pt>
                <c:pt idx="109" formatCode="#,##0">
                  <c:v>29873</c:v>
                </c:pt>
                <c:pt idx="110" formatCode="#,##0">
                  <c:v>445019.85714285716</c:v>
                </c:pt>
                <c:pt idx="111" formatCode="0">
                  <c:v>205300.28571428571</c:v>
                </c:pt>
                <c:pt idx="112" formatCode="0">
                  <c:v>94851.71428571429</c:v>
                </c:pt>
                <c:pt idx="113" formatCode="0">
                  <c:v>799027.85714285716</c:v>
                </c:pt>
                <c:pt idx="114" formatCode="0">
                  <c:v>18161.571428571428</c:v>
                </c:pt>
                <c:pt idx="115" formatCode="0">
                  <c:v>39503.714285714283</c:v>
                </c:pt>
                <c:pt idx="116" formatCode="0">
                  <c:v>30429.571428571428</c:v>
                </c:pt>
                <c:pt idx="117" formatCode="0">
                  <c:v>12749</c:v>
                </c:pt>
                <c:pt idx="118" formatCode="0">
                  <c:v>16179</c:v>
                </c:pt>
                <c:pt idx="119" formatCode="0">
                  <c:v>205300.28571428571</c:v>
                </c:pt>
                <c:pt idx="120" formatCode="0">
                  <c:v>11</c:v>
                </c:pt>
                <c:pt idx="121" formatCode="0">
                  <c:v>13</c:v>
                </c:pt>
                <c:pt idx="122" formatCode="0">
                  <c:v>13.428571428571429</c:v>
                </c:pt>
                <c:pt idx="123" formatCode="0">
                  <c:v>7.4285714285714288</c:v>
                </c:pt>
                <c:pt idx="124" formatCode="0">
                  <c:v>13.428571428571429</c:v>
                </c:pt>
                <c:pt idx="125" formatCode="0">
                  <c:v>59.857142857142854</c:v>
                </c:pt>
                <c:pt idx="126" formatCode="#,##0">
                  <c:v>8346.4285714285706</c:v>
                </c:pt>
                <c:pt idx="127" formatCode="#,##0">
                  <c:v>82.857142857142861</c:v>
                </c:pt>
                <c:pt idx="129" formatCode="0">
                  <c:v>42</c:v>
                </c:pt>
                <c:pt idx="130" formatCode="0">
                  <c:v>207.42857142857142</c:v>
                </c:pt>
                <c:pt idx="131" formatCode="#,##0">
                  <c:v>33.285714285714285</c:v>
                </c:pt>
                <c:pt idx="132" formatCode="#,##0">
                  <c:v>32933.428571428572</c:v>
                </c:pt>
                <c:pt idx="133" formatCode="#,##0">
                  <c:v>17261.714285714286</c:v>
                </c:pt>
                <c:pt idx="134" formatCode="#,##0">
                  <c:v>314521.42857142858</c:v>
                </c:pt>
                <c:pt idx="135" formatCode="#,##0">
                  <c:v>70.714285714285708</c:v>
                </c:pt>
                <c:pt idx="136" formatCode="#,##0">
                  <c:v>1185.8571428571429</c:v>
                </c:pt>
                <c:pt idx="137" formatCode="#,##0">
                  <c:v>9074.5714285714294</c:v>
                </c:pt>
                <c:pt idx="138" formatCode="#,##0">
                  <c:v>50.285714285714285</c:v>
                </c:pt>
                <c:pt idx="139" formatCode="#,##0">
                  <c:v>37.285714285714285</c:v>
                </c:pt>
                <c:pt idx="140" formatCode="#,##0">
                  <c:v>38.285714285714285</c:v>
                </c:pt>
                <c:pt idx="141" formatCode="#,##0">
                  <c:v>57.142857142857146</c:v>
                </c:pt>
                <c:pt idx="142" formatCode="#,##0">
                  <c:v>40</c:v>
                </c:pt>
                <c:pt idx="143" formatCode="#,##0">
                  <c:v>37.142857142857146</c:v>
                </c:pt>
                <c:pt idx="144" formatCode="#,##0">
                  <c:v>43.142857142857146</c:v>
                </c:pt>
                <c:pt idx="145" formatCode="0">
                  <c:v>53.857142857142854</c:v>
                </c:pt>
                <c:pt idx="146" formatCode="0">
                  <c:v>37.714285714285715</c:v>
                </c:pt>
                <c:pt idx="147" formatCode="0">
                  <c:v>49.285714285714285</c:v>
                </c:pt>
              </c:numCache>
            </c:numRef>
          </c:yVal>
          <c:smooth val="0"/>
        </c:ser>
        <c:ser>
          <c:idx val="15"/>
          <c:order val="14"/>
          <c:tx>
            <c:v>NED SSA</c:v>
          </c:tx>
          <c:spPr>
            <a:ln w="28575">
              <a:noFill/>
            </a:ln>
          </c:spPr>
          <c:xVal>
            <c:numRef>
              <c:f>Sheet1!$B$3:$ZZ$3</c:f>
              <c:numCache>
                <c:formatCode>m/d/yyyy</c:formatCode>
                <c:ptCount val="701"/>
                <c:pt idx="0">
                  <c:v>41931</c:v>
                </c:pt>
                <c:pt idx="1">
                  <c:v>41938</c:v>
                </c:pt>
                <c:pt idx="2">
                  <c:v>41945</c:v>
                </c:pt>
                <c:pt idx="3">
                  <c:v>41952</c:v>
                </c:pt>
                <c:pt idx="4">
                  <c:v>41959</c:v>
                </c:pt>
                <c:pt idx="5">
                  <c:v>41966</c:v>
                </c:pt>
                <c:pt idx="6">
                  <c:v>41973</c:v>
                </c:pt>
                <c:pt idx="7">
                  <c:v>41980</c:v>
                </c:pt>
                <c:pt idx="8">
                  <c:v>41987</c:v>
                </c:pt>
                <c:pt idx="9">
                  <c:v>41994</c:v>
                </c:pt>
                <c:pt idx="10">
                  <c:v>42001</c:v>
                </c:pt>
                <c:pt idx="11">
                  <c:v>42008</c:v>
                </c:pt>
                <c:pt idx="12">
                  <c:v>42015</c:v>
                </c:pt>
                <c:pt idx="13">
                  <c:v>42022</c:v>
                </c:pt>
                <c:pt idx="14">
                  <c:v>42029</c:v>
                </c:pt>
                <c:pt idx="15">
                  <c:v>42036</c:v>
                </c:pt>
                <c:pt idx="16">
                  <c:v>42043</c:v>
                </c:pt>
                <c:pt idx="17">
                  <c:v>42050</c:v>
                </c:pt>
                <c:pt idx="18">
                  <c:v>42057</c:v>
                </c:pt>
                <c:pt idx="19">
                  <c:v>42064</c:v>
                </c:pt>
                <c:pt idx="20">
                  <c:v>42071</c:v>
                </c:pt>
                <c:pt idx="21">
                  <c:v>42078</c:v>
                </c:pt>
                <c:pt idx="22">
                  <c:v>42085</c:v>
                </c:pt>
                <c:pt idx="23">
                  <c:v>42092</c:v>
                </c:pt>
                <c:pt idx="24">
                  <c:v>42099</c:v>
                </c:pt>
                <c:pt idx="25">
                  <c:v>42106</c:v>
                </c:pt>
                <c:pt idx="26">
                  <c:v>42113</c:v>
                </c:pt>
                <c:pt idx="27">
                  <c:v>42120</c:v>
                </c:pt>
                <c:pt idx="28">
                  <c:v>42127</c:v>
                </c:pt>
                <c:pt idx="29">
                  <c:v>42134</c:v>
                </c:pt>
                <c:pt idx="30">
                  <c:v>42141</c:v>
                </c:pt>
                <c:pt idx="31">
                  <c:v>42148</c:v>
                </c:pt>
                <c:pt idx="32">
                  <c:v>42155</c:v>
                </c:pt>
                <c:pt idx="33">
                  <c:v>42162</c:v>
                </c:pt>
                <c:pt idx="34">
                  <c:v>42169</c:v>
                </c:pt>
                <c:pt idx="35">
                  <c:v>42176</c:v>
                </c:pt>
                <c:pt idx="36">
                  <c:v>42183</c:v>
                </c:pt>
                <c:pt idx="37">
                  <c:v>42190</c:v>
                </c:pt>
                <c:pt idx="38">
                  <c:v>42197</c:v>
                </c:pt>
                <c:pt idx="39">
                  <c:v>42204</c:v>
                </c:pt>
                <c:pt idx="40">
                  <c:v>42211</c:v>
                </c:pt>
                <c:pt idx="41">
                  <c:v>42218</c:v>
                </c:pt>
                <c:pt idx="42">
                  <c:v>42225</c:v>
                </c:pt>
                <c:pt idx="43">
                  <c:v>42232</c:v>
                </c:pt>
                <c:pt idx="44">
                  <c:v>42239</c:v>
                </c:pt>
                <c:pt idx="45">
                  <c:v>42246</c:v>
                </c:pt>
                <c:pt idx="46">
                  <c:v>42253</c:v>
                </c:pt>
                <c:pt idx="47">
                  <c:v>42260</c:v>
                </c:pt>
                <c:pt idx="48">
                  <c:v>42267</c:v>
                </c:pt>
                <c:pt idx="49">
                  <c:v>42274</c:v>
                </c:pt>
                <c:pt idx="50">
                  <c:v>42281</c:v>
                </c:pt>
                <c:pt idx="51">
                  <c:v>42288</c:v>
                </c:pt>
                <c:pt idx="52">
                  <c:v>42295</c:v>
                </c:pt>
                <c:pt idx="53">
                  <c:v>42302</c:v>
                </c:pt>
                <c:pt idx="54">
                  <c:v>42309</c:v>
                </c:pt>
                <c:pt idx="55">
                  <c:v>42316</c:v>
                </c:pt>
                <c:pt idx="56">
                  <c:v>42323</c:v>
                </c:pt>
                <c:pt idx="57">
                  <c:v>42330</c:v>
                </c:pt>
                <c:pt idx="58">
                  <c:v>42337</c:v>
                </c:pt>
                <c:pt idx="59">
                  <c:v>42344</c:v>
                </c:pt>
                <c:pt idx="60">
                  <c:v>42351</c:v>
                </c:pt>
                <c:pt idx="61">
                  <c:v>42358</c:v>
                </c:pt>
                <c:pt idx="62">
                  <c:v>42365</c:v>
                </c:pt>
                <c:pt idx="63">
                  <c:v>42372</c:v>
                </c:pt>
                <c:pt idx="64">
                  <c:v>42379</c:v>
                </c:pt>
                <c:pt idx="65">
                  <c:v>42386</c:v>
                </c:pt>
                <c:pt idx="66">
                  <c:v>42393</c:v>
                </c:pt>
                <c:pt idx="67">
                  <c:v>42400</c:v>
                </c:pt>
                <c:pt idx="68">
                  <c:v>42407</c:v>
                </c:pt>
                <c:pt idx="69">
                  <c:v>42414</c:v>
                </c:pt>
                <c:pt idx="70">
                  <c:v>42421</c:v>
                </c:pt>
                <c:pt idx="71">
                  <c:v>42428</c:v>
                </c:pt>
                <c:pt idx="72">
                  <c:v>42435</c:v>
                </c:pt>
                <c:pt idx="73">
                  <c:v>42442</c:v>
                </c:pt>
                <c:pt idx="74">
                  <c:v>42449</c:v>
                </c:pt>
                <c:pt idx="75">
                  <c:v>42456</c:v>
                </c:pt>
                <c:pt idx="76">
                  <c:v>42463</c:v>
                </c:pt>
                <c:pt idx="77">
                  <c:v>42470</c:v>
                </c:pt>
                <c:pt idx="78">
                  <c:v>42477</c:v>
                </c:pt>
                <c:pt idx="79">
                  <c:v>42484</c:v>
                </c:pt>
                <c:pt idx="80">
                  <c:v>42491</c:v>
                </c:pt>
                <c:pt idx="81">
                  <c:v>42498</c:v>
                </c:pt>
                <c:pt idx="82">
                  <c:v>42505</c:v>
                </c:pt>
                <c:pt idx="83">
                  <c:v>42512</c:v>
                </c:pt>
                <c:pt idx="84">
                  <c:v>42519</c:v>
                </c:pt>
                <c:pt idx="85">
                  <c:v>42526</c:v>
                </c:pt>
                <c:pt idx="86">
                  <c:v>42533</c:v>
                </c:pt>
                <c:pt idx="87">
                  <c:v>42540</c:v>
                </c:pt>
                <c:pt idx="88">
                  <c:v>42547</c:v>
                </c:pt>
                <c:pt idx="89">
                  <c:v>42554</c:v>
                </c:pt>
                <c:pt idx="90">
                  <c:v>42561</c:v>
                </c:pt>
                <c:pt idx="91">
                  <c:v>42568</c:v>
                </c:pt>
                <c:pt idx="92">
                  <c:v>42575</c:v>
                </c:pt>
                <c:pt idx="93">
                  <c:v>42582</c:v>
                </c:pt>
                <c:pt idx="94">
                  <c:v>42589</c:v>
                </c:pt>
                <c:pt idx="95">
                  <c:v>42596</c:v>
                </c:pt>
                <c:pt idx="96">
                  <c:v>42603</c:v>
                </c:pt>
                <c:pt idx="97">
                  <c:v>42610</c:v>
                </c:pt>
                <c:pt idx="98">
                  <c:v>42617</c:v>
                </c:pt>
                <c:pt idx="99">
                  <c:v>42624</c:v>
                </c:pt>
                <c:pt idx="100">
                  <c:v>42631</c:v>
                </c:pt>
                <c:pt idx="101">
                  <c:v>42638</c:v>
                </c:pt>
                <c:pt idx="102">
                  <c:v>42645</c:v>
                </c:pt>
                <c:pt idx="103">
                  <c:v>42652</c:v>
                </c:pt>
                <c:pt idx="104">
                  <c:v>42659</c:v>
                </c:pt>
                <c:pt idx="105">
                  <c:v>42666</c:v>
                </c:pt>
                <c:pt idx="106">
                  <c:v>42673</c:v>
                </c:pt>
                <c:pt idx="107">
                  <c:v>42680</c:v>
                </c:pt>
                <c:pt idx="108">
                  <c:v>42687</c:v>
                </c:pt>
                <c:pt idx="109">
                  <c:v>42694</c:v>
                </c:pt>
                <c:pt idx="110">
                  <c:v>42701</c:v>
                </c:pt>
                <c:pt idx="111">
                  <c:v>42708</c:v>
                </c:pt>
                <c:pt idx="112">
                  <c:v>42715</c:v>
                </c:pt>
                <c:pt idx="113">
                  <c:v>42722</c:v>
                </c:pt>
                <c:pt idx="114">
                  <c:v>42729</c:v>
                </c:pt>
                <c:pt idx="115">
                  <c:v>42736</c:v>
                </c:pt>
                <c:pt idx="116">
                  <c:v>42743</c:v>
                </c:pt>
                <c:pt idx="117">
                  <c:v>42750</c:v>
                </c:pt>
                <c:pt idx="118">
                  <c:v>42757</c:v>
                </c:pt>
                <c:pt idx="119">
                  <c:v>42764</c:v>
                </c:pt>
                <c:pt idx="120">
                  <c:v>42771</c:v>
                </c:pt>
                <c:pt idx="121">
                  <c:v>42778</c:v>
                </c:pt>
                <c:pt idx="122">
                  <c:v>42785</c:v>
                </c:pt>
                <c:pt idx="123">
                  <c:v>42792</c:v>
                </c:pt>
                <c:pt idx="124">
                  <c:v>42799</c:v>
                </c:pt>
                <c:pt idx="125">
                  <c:v>42806</c:v>
                </c:pt>
                <c:pt idx="126">
                  <c:v>42813</c:v>
                </c:pt>
                <c:pt idx="127">
                  <c:v>42820</c:v>
                </c:pt>
                <c:pt idx="128">
                  <c:v>42827</c:v>
                </c:pt>
                <c:pt idx="129">
                  <c:v>42834</c:v>
                </c:pt>
                <c:pt idx="130">
                  <c:v>42841</c:v>
                </c:pt>
                <c:pt idx="131">
                  <c:v>42848</c:v>
                </c:pt>
                <c:pt idx="132">
                  <c:v>42855</c:v>
                </c:pt>
                <c:pt idx="133">
                  <c:v>42862</c:v>
                </c:pt>
                <c:pt idx="134">
                  <c:v>42869</c:v>
                </c:pt>
                <c:pt idx="135">
                  <c:v>42876</c:v>
                </c:pt>
                <c:pt idx="136">
                  <c:v>42883</c:v>
                </c:pt>
                <c:pt idx="137">
                  <c:v>42890</c:v>
                </c:pt>
                <c:pt idx="138">
                  <c:v>42897</c:v>
                </c:pt>
                <c:pt idx="139">
                  <c:v>42904</c:v>
                </c:pt>
                <c:pt idx="140">
                  <c:v>42911</c:v>
                </c:pt>
                <c:pt idx="141">
                  <c:v>42918</c:v>
                </c:pt>
                <c:pt idx="142">
                  <c:v>42925</c:v>
                </c:pt>
                <c:pt idx="143">
                  <c:v>42932</c:v>
                </c:pt>
                <c:pt idx="144">
                  <c:v>42939</c:v>
                </c:pt>
                <c:pt idx="145">
                  <c:v>42946</c:v>
                </c:pt>
                <c:pt idx="146">
                  <c:v>42953</c:v>
                </c:pt>
                <c:pt idx="147">
                  <c:v>42960</c:v>
                </c:pt>
                <c:pt idx="148">
                  <c:v>42967</c:v>
                </c:pt>
                <c:pt idx="149">
                  <c:v>42974</c:v>
                </c:pt>
                <c:pt idx="150">
                  <c:v>42981</c:v>
                </c:pt>
                <c:pt idx="151">
                  <c:v>42988</c:v>
                </c:pt>
                <c:pt idx="152">
                  <c:v>42995</c:v>
                </c:pt>
                <c:pt idx="153">
                  <c:v>43002</c:v>
                </c:pt>
                <c:pt idx="154">
                  <c:v>43009</c:v>
                </c:pt>
                <c:pt idx="155">
                  <c:v>43016</c:v>
                </c:pt>
                <c:pt idx="156">
                  <c:v>43023</c:v>
                </c:pt>
                <c:pt idx="157">
                  <c:v>43030</c:v>
                </c:pt>
              </c:numCache>
            </c:numRef>
          </c:xVal>
          <c:yVal>
            <c:numRef>
              <c:f>Sheet1!$B$26:$ZZ$26</c:f>
              <c:numCache>
                <c:formatCode>#,##0</c:formatCode>
                <c:ptCount val="701"/>
                <c:pt idx="7">
                  <c:v>103</c:v>
                </c:pt>
                <c:pt idx="8">
                  <c:v>108</c:v>
                </c:pt>
                <c:pt idx="9">
                  <c:v>96</c:v>
                </c:pt>
                <c:pt idx="10">
                  <c:v>87</c:v>
                </c:pt>
                <c:pt idx="11">
                  <c:v>91</c:v>
                </c:pt>
                <c:pt idx="12">
                  <c:v>194.57142857142858</c:v>
                </c:pt>
                <c:pt idx="13">
                  <c:v>170.28571428571428</c:v>
                </c:pt>
                <c:pt idx="14">
                  <c:v>197.57142857142858</c:v>
                </c:pt>
                <c:pt idx="15">
                  <c:v>208.85714285714286</c:v>
                </c:pt>
                <c:pt idx="16">
                  <c:v>190.85714285714286</c:v>
                </c:pt>
                <c:pt idx="17">
                  <c:v>213.14285714285714</c:v>
                </c:pt>
                <c:pt idx="18">
                  <c:v>221</c:v>
                </c:pt>
                <c:pt idx="19" formatCode="0">
                  <c:v>234.85714285714286</c:v>
                </c:pt>
                <c:pt idx="20" formatCode="0">
                  <c:v>195.85714285714286</c:v>
                </c:pt>
                <c:pt idx="21" formatCode="0">
                  <c:v>225.28571428571428</c:v>
                </c:pt>
                <c:pt idx="22" formatCode="0">
                  <c:v>202.14285714285714</c:v>
                </c:pt>
                <c:pt idx="23" formatCode="0">
                  <c:v>211.28571428571428</c:v>
                </c:pt>
                <c:pt idx="24" formatCode="0">
                  <c:v>219.42857142857142</c:v>
                </c:pt>
                <c:pt idx="25" formatCode="0">
                  <c:v>192.14285714285714</c:v>
                </c:pt>
                <c:pt idx="26" formatCode="0">
                  <c:v>217.57142857142858</c:v>
                </c:pt>
                <c:pt idx="27" formatCode="General">
                  <c:v>248</c:v>
                </c:pt>
                <c:pt idx="28" formatCode="General">
                  <c:v>211</c:v>
                </c:pt>
                <c:pt idx="29" formatCode="General">
                  <c:v>208</c:v>
                </c:pt>
                <c:pt idx="30" formatCode="General">
                  <c:v>221</c:v>
                </c:pt>
                <c:pt idx="31" formatCode="General">
                  <c:v>195</c:v>
                </c:pt>
                <c:pt idx="32" formatCode="General">
                  <c:v>186</c:v>
                </c:pt>
                <c:pt idx="33" formatCode="General">
                  <c:v>182</c:v>
                </c:pt>
                <c:pt idx="34" formatCode="General">
                  <c:v>270</c:v>
                </c:pt>
                <c:pt idx="35" formatCode="General">
                  <c:v>254</c:v>
                </c:pt>
                <c:pt idx="36" formatCode="0">
                  <c:v>233.28571428571428</c:v>
                </c:pt>
                <c:pt idx="37" formatCode="0">
                  <c:v>208.85714285714286</c:v>
                </c:pt>
                <c:pt idx="38" formatCode="0">
                  <c:v>240.71428571428572</c:v>
                </c:pt>
                <c:pt idx="39" formatCode="0">
                  <c:v>166.57142857142858</c:v>
                </c:pt>
                <c:pt idx="40" formatCode="0">
                  <c:v>69.571428571428569</c:v>
                </c:pt>
                <c:pt idx="41" formatCode="0">
                  <c:v>187.71428571428572</c:v>
                </c:pt>
                <c:pt idx="42" formatCode="0">
                  <c:v>59.714285714285715</c:v>
                </c:pt>
                <c:pt idx="43" formatCode="0">
                  <c:v>233</c:v>
                </c:pt>
                <c:pt idx="44" formatCode="0">
                  <c:v>206.85714285714286</c:v>
                </c:pt>
                <c:pt idx="45" formatCode="0">
                  <c:v>251.85714285714286</c:v>
                </c:pt>
                <c:pt idx="46" formatCode="0">
                  <c:v>216.71428571428572</c:v>
                </c:pt>
                <c:pt idx="47" formatCode="0">
                  <c:v>179.14285714285714</c:v>
                </c:pt>
                <c:pt idx="48" formatCode="0">
                  <c:v>219.71428571428572</c:v>
                </c:pt>
                <c:pt idx="49" formatCode="0">
                  <c:v>206.71428571428572</c:v>
                </c:pt>
                <c:pt idx="50" formatCode="0">
                  <c:v>340</c:v>
                </c:pt>
                <c:pt idx="51" formatCode="0">
                  <c:v>189.14285714285714</c:v>
                </c:pt>
                <c:pt idx="52" formatCode="0">
                  <c:v>193</c:v>
                </c:pt>
                <c:pt idx="53" formatCode="0">
                  <c:v>213.28571428571428</c:v>
                </c:pt>
                <c:pt idx="54" formatCode="0">
                  <c:v>189.42857142857142</c:v>
                </c:pt>
                <c:pt idx="55" formatCode="0">
                  <c:v>213.14285714285714</c:v>
                </c:pt>
                <c:pt idx="56" formatCode="0">
                  <c:v>214.42857142857142</c:v>
                </c:pt>
                <c:pt idx="57" formatCode="0">
                  <c:v>252.28571428571428</c:v>
                </c:pt>
                <c:pt idx="58" formatCode="0">
                  <c:v>230.57142857142858</c:v>
                </c:pt>
                <c:pt idx="59" formatCode="0">
                  <c:v>252.57142857142858</c:v>
                </c:pt>
                <c:pt idx="60">
                  <c:v>230</c:v>
                </c:pt>
                <c:pt idx="61">
                  <c:v>234.57142857142858</c:v>
                </c:pt>
                <c:pt idx="62">
                  <c:v>170.28571428571428</c:v>
                </c:pt>
                <c:pt idx="63">
                  <c:v>165.28571428571428</c:v>
                </c:pt>
                <c:pt idx="64">
                  <c:v>192</c:v>
                </c:pt>
                <c:pt idx="65">
                  <c:v>175.71428571428572</c:v>
                </c:pt>
                <c:pt idx="66">
                  <c:v>187.57142857142858</c:v>
                </c:pt>
                <c:pt idx="67">
                  <c:v>196.28571428571428</c:v>
                </c:pt>
                <c:pt idx="68">
                  <c:v>210</c:v>
                </c:pt>
                <c:pt idx="69">
                  <c:v>206.42857142857142</c:v>
                </c:pt>
                <c:pt idx="70">
                  <c:v>181.71428571428572</c:v>
                </c:pt>
                <c:pt idx="71">
                  <c:v>194.85714285714286</c:v>
                </c:pt>
                <c:pt idx="72" formatCode="0">
                  <c:v>226.57142857142858</c:v>
                </c:pt>
                <c:pt idx="73" formatCode="0">
                  <c:v>245.71428571428572</c:v>
                </c:pt>
                <c:pt idx="74">
                  <c:v>220.57142857142858</c:v>
                </c:pt>
                <c:pt idx="75">
                  <c:v>278</c:v>
                </c:pt>
                <c:pt idx="76">
                  <c:v>33722.857142857145</c:v>
                </c:pt>
                <c:pt idx="77">
                  <c:v>219.71428571428572</c:v>
                </c:pt>
                <c:pt idx="78">
                  <c:v>205.85714285714286</c:v>
                </c:pt>
                <c:pt idx="79">
                  <c:v>318.71428571428572</c:v>
                </c:pt>
                <c:pt idx="80">
                  <c:v>204.85714285714286</c:v>
                </c:pt>
                <c:pt idx="81">
                  <c:v>185.42857142857142</c:v>
                </c:pt>
                <c:pt idx="82">
                  <c:v>187.42857142857142</c:v>
                </c:pt>
                <c:pt idx="83" formatCode="0">
                  <c:v>197.85714285714286</c:v>
                </c:pt>
                <c:pt idx="84" formatCode="0">
                  <c:v>236.71428571428572</c:v>
                </c:pt>
                <c:pt idx="85">
                  <c:v>210</c:v>
                </c:pt>
                <c:pt idx="86">
                  <c:v>197.42857142857142</c:v>
                </c:pt>
                <c:pt idx="87">
                  <c:v>201</c:v>
                </c:pt>
                <c:pt idx="88">
                  <c:v>214.71428571428572</c:v>
                </c:pt>
                <c:pt idx="89">
                  <c:v>391.57142857142856</c:v>
                </c:pt>
                <c:pt idx="90">
                  <c:v>104.71428571428571</c:v>
                </c:pt>
                <c:pt idx="91">
                  <c:v>133.14285714285714</c:v>
                </c:pt>
                <c:pt idx="92">
                  <c:v>114.57142857142857</c:v>
                </c:pt>
                <c:pt idx="93">
                  <c:v>395</c:v>
                </c:pt>
                <c:pt idx="94">
                  <c:v>119.57142857142857</c:v>
                </c:pt>
                <c:pt idx="95">
                  <c:v>140.71428571428572</c:v>
                </c:pt>
                <c:pt idx="96">
                  <c:v>132.14285714285714</c:v>
                </c:pt>
                <c:pt idx="97">
                  <c:v>137.14285714285714</c:v>
                </c:pt>
                <c:pt idx="98">
                  <c:v>176.71428571428572</c:v>
                </c:pt>
                <c:pt idx="99">
                  <c:v>151.14285714285714</c:v>
                </c:pt>
                <c:pt idx="100">
                  <c:v>130.57142857142858</c:v>
                </c:pt>
                <c:pt idx="101">
                  <c:v>138.14285714285714</c:v>
                </c:pt>
                <c:pt idx="102">
                  <c:v>142.14285714285714</c:v>
                </c:pt>
                <c:pt idx="103">
                  <c:v>152</c:v>
                </c:pt>
                <c:pt idx="104">
                  <c:v>144.71428571428572</c:v>
                </c:pt>
                <c:pt idx="105">
                  <c:v>151.57142857142858</c:v>
                </c:pt>
                <c:pt idx="106">
                  <c:v>147.14285714285714</c:v>
                </c:pt>
                <c:pt idx="107">
                  <c:v>159.57142857142858</c:v>
                </c:pt>
                <c:pt idx="108">
                  <c:v>124.14285714285714</c:v>
                </c:pt>
                <c:pt idx="109">
                  <c:v>158</c:v>
                </c:pt>
                <c:pt idx="110">
                  <c:v>187.28571428571428</c:v>
                </c:pt>
                <c:pt idx="111">
                  <c:v>188.57142857142858</c:v>
                </c:pt>
                <c:pt idx="112">
                  <c:v>128.14285714285714</c:v>
                </c:pt>
                <c:pt idx="113">
                  <c:v>128.28571428571428</c:v>
                </c:pt>
                <c:pt idx="114">
                  <c:v>124.57142857142857</c:v>
                </c:pt>
                <c:pt idx="115">
                  <c:v>136.85714285714286</c:v>
                </c:pt>
                <c:pt idx="116" formatCode="General">
                  <c:v>16.285714285714285</c:v>
                </c:pt>
                <c:pt idx="117" formatCode="General">
                  <c:v>39</c:v>
                </c:pt>
                <c:pt idx="118" formatCode="0">
                  <c:v>29.285714285714285</c:v>
                </c:pt>
                <c:pt idx="119" formatCode="0">
                  <c:v>14.857142857142858</c:v>
                </c:pt>
                <c:pt idx="120" formatCode="0">
                  <c:v>21.714285714285715</c:v>
                </c:pt>
                <c:pt idx="121" formatCode="0">
                  <c:v>27.142857142857142</c:v>
                </c:pt>
                <c:pt idx="122" formatCode="0">
                  <c:v>22.857142857142858</c:v>
                </c:pt>
                <c:pt idx="123" formatCode="0">
                  <c:v>27.142857142857142</c:v>
                </c:pt>
                <c:pt idx="124" formatCode="0">
                  <c:v>17.714285714285715</c:v>
                </c:pt>
                <c:pt idx="125" formatCode="0">
                  <c:v>15.285714285714286</c:v>
                </c:pt>
                <c:pt idx="126" formatCode="0">
                  <c:v>29.285714285714285</c:v>
                </c:pt>
                <c:pt idx="127" formatCode="0">
                  <c:v>14</c:v>
                </c:pt>
                <c:pt idx="128" formatCode="0">
                  <c:v>24</c:v>
                </c:pt>
                <c:pt idx="129" formatCode="0">
                  <c:v>39.428571428571431</c:v>
                </c:pt>
                <c:pt idx="130" formatCode="0">
                  <c:v>9.8571428571428577</c:v>
                </c:pt>
                <c:pt idx="131" formatCode="0">
                  <c:v>13.571428571428571</c:v>
                </c:pt>
                <c:pt idx="132" formatCode="0">
                  <c:v>78.285714285714292</c:v>
                </c:pt>
                <c:pt idx="133">
                  <c:v>85.857142857142861</c:v>
                </c:pt>
                <c:pt idx="134">
                  <c:v>89.428571428571431</c:v>
                </c:pt>
                <c:pt idx="136" formatCode="0">
                  <c:v>192.85714285714286</c:v>
                </c:pt>
                <c:pt idx="137" formatCode="0">
                  <c:v>120.42857142857143</c:v>
                </c:pt>
                <c:pt idx="138">
                  <c:v>109.28571428571429</c:v>
                </c:pt>
                <c:pt idx="139">
                  <c:v>100</c:v>
                </c:pt>
                <c:pt idx="140">
                  <c:v>111.28571428571429</c:v>
                </c:pt>
                <c:pt idx="141">
                  <c:v>57.571428571428569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72.571428571428569</c:v>
                </c:pt>
                <c:pt idx="146">
                  <c:v>82.857142857142861</c:v>
                </c:pt>
                <c:pt idx="147">
                  <c:v>38.285714285714285</c:v>
                </c:pt>
                <c:pt idx="148">
                  <c:v>93</c:v>
                </c:pt>
                <c:pt idx="149">
                  <c:v>88.428571428571431</c:v>
                </c:pt>
                <c:pt idx="150">
                  <c:v>91</c:v>
                </c:pt>
                <c:pt idx="151">
                  <c:v>92.428571428571431</c:v>
                </c:pt>
                <c:pt idx="152" formatCode="0">
                  <c:v>92</c:v>
                </c:pt>
                <c:pt idx="153" formatCode="0">
                  <c:v>87.142857142857139</c:v>
                </c:pt>
                <c:pt idx="154" formatCode="0">
                  <c:v>90.714285714285708</c:v>
                </c:pt>
              </c:numCache>
            </c:numRef>
          </c:yVal>
          <c:smooth val="0"/>
        </c:ser>
        <c:ser>
          <c:idx val="14"/>
          <c:order val="15"/>
          <c:tx>
            <c:v>Total</c:v>
          </c:tx>
          <c:spPr>
            <a:ln w="28575">
              <a:noFill/>
            </a:ln>
          </c:spPr>
          <c:xVal>
            <c:numRef>
              <c:f>Sheet1!$B$3:$ZZ$3</c:f>
              <c:numCache>
                <c:formatCode>m/d/yyyy</c:formatCode>
                <c:ptCount val="701"/>
                <c:pt idx="0">
                  <c:v>41931</c:v>
                </c:pt>
                <c:pt idx="1">
                  <c:v>41938</c:v>
                </c:pt>
                <c:pt idx="2">
                  <c:v>41945</c:v>
                </c:pt>
                <c:pt idx="3">
                  <c:v>41952</c:v>
                </c:pt>
                <c:pt idx="4">
                  <c:v>41959</c:v>
                </c:pt>
                <c:pt idx="5">
                  <c:v>41966</c:v>
                </c:pt>
                <c:pt idx="6">
                  <c:v>41973</c:v>
                </c:pt>
                <c:pt idx="7">
                  <c:v>41980</c:v>
                </c:pt>
                <c:pt idx="8">
                  <c:v>41987</c:v>
                </c:pt>
                <c:pt idx="9">
                  <c:v>41994</c:v>
                </c:pt>
                <c:pt idx="10">
                  <c:v>42001</c:v>
                </c:pt>
                <c:pt idx="11">
                  <c:v>42008</c:v>
                </c:pt>
                <c:pt idx="12">
                  <c:v>42015</c:v>
                </c:pt>
                <c:pt idx="13">
                  <c:v>42022</c:v>
                </c:pt>
                <c:pt idx="14">
                  <c:v>42029</c:v>
                </c:pt>
                <c:pt idx="15">
                  <c:v>42036</c:v>
                </c:pt>
                <c:pt idx="16">
                  <c:v>42043</c:v>
                </c:pt>
                <c:pt idx="17">
                  <c:v>42050</c:v>
                </c:pt>
                <c:pt idx="18">
                  <c:v>42057</c:v>
                </c:pt>
                <c:pt idx="19">
                  <c:v>42064</c:v>
                </c:pt>
                <c:pt idx="20">
                  <c:v>42071</c:v>
                </c:pt>
                <c:pt idx="21">
                  <c:v>42078</c:v>
                </c:pt>
                <c:pt idx="22">
                  <c:v>42085</c:v>
                </c:pt>
                <c:pt idx="23">
                  <c:v>42092</c:v>
                </c:pt>
                <c:pt idx="24">
                  <c:v>42099</c:v>
                </c:pt>
                <c:pt idx="25">
                  <c:v>42106</c:v>
                </c:pt>
                <c:pt idx="26">
                  <c:v>42113</c:v>
                </c:pt>
                <c:pt idx="27">
                  <c:v>42120</c:v>
                </c:pt>
                <c:pt idx="28">
                  <c:v>42127</c:v>
                </c:pt>
                <c:pt idx="29">
                  <c:v>42134</c:v>
                </c:pt>
                <c:pt idx="30">
                  <c:v>42141</c:v>
                </c:pt>
                <c:pt idx="31">
                  <c:v>42148</c:v>
                </c:pt>
                <c:pt idx="32">
                  <c:v>42155</c:v>
                </c:pt>
                <c:pt idx="33">
                  <c:v>42162</c:v>
                </c:pt>
                <c:pt idx="34">
                  <c:v>42169</c:v>
                </c:pt>
                <c:pt idx="35">
                  <c:v>42176</c:v>
                </c:pt>
                <c:pt idx="36">
                  <c:v>42183</c:v>
                </c:pt>
                <c:pt idx="37">
                  <c:v>42190</c:v>
                </c:pt>
                <c:pt idx="38">
                  <c:v>42197</c:v>
                </c:pt>
                <c:pt idx="39">
                  <c:v>42204</c:v>
                </c:pt>
                <c:pt idx="40">
                  <c:v>42211</c:v>
                </c:pt>
                <c:pt idx="41">
                  <c:v>42218</c:v>
                </c:pt>
                <c:pt idx="42">
                  <c:v>42225</c:v>
                </c:pt>
                <c:pt idx="43">
                  <c:v>42232</c:v>
                </c:pt>
                <c:pt idx="44">
                  <c:v>42239</c:v>
                </c:pt>
                <c:pt idx="45">
                  <c:v>42246</c:v>
                </c:pt>
                <c:pt idx="46">
                  <c:v>42253</c:v>
                </c:pt>
                <c:pt idx="47">
                  <c:v>42260</c:v>
                </c:pt>
                <c:pt idx="48">
                  <c:v>42267</c:v>
                </c:pt>
                <c:pt idx="49">
                  <c:v>42274</c:v>
                </c:pt>
                <c:pt idx="50">
                  <c:v>42281</c:v>
                </c:pt>
                <c:pt idx="51">
                  <c:v>42288</c:v>
                </c:pt>
                <c:pt idx="52">
                  <c:v>42295</c:v>
                </c:pt>
                <c:pt idx="53">
                  <c:v>42302</c:v>
                </c:pt>
                <c:pt idx="54">
                  <c:v>42309</c:v>
                </c:pt>
                <c:pt idx="55">
                  <c:v>42316</c:v>
                </c:pt>
                <c:pt idx="56">
                  <c:v>42323</c:v>
                </c:pt>
                <c:pt idx="57">
                  <c:v>42330</c:v>
                </c:pt>
                <c:pt idx="58">
                  <c:v>42337</c:v>
                </c:pt>
                <c:pt idx="59">
                  <c:v>42344</c:v>
                </c:pt>
                <c:pt idx="60">
                  <c:v>42351</c:v>
                </c:pt>
                <c:pt idx="61">
                  <c:v>42358</c:v>
                </c:pt>
                <c:pt idx="62">
                  <c:v>42365</c:v>
                </c:pt>
                <c:pt idx="63">
                  <c:v>42372</c:v>
                </c:pt>
                <c:pt idx="64">
                  <c:v>42379</c:v>
                </c:pt>
                <c:pt idx="65">
                  <c:v>42386</c:v>
                </c:pt>
                <c:pt idx="66">
                  <c:v>42393</c:v>
                </c:pt>
                <c:pt idx="67">
                  <c:v>42400</c:v>
                </c:pt>
                <c:pt idx="68">
                  <c:v>42407</c:v>
                </c:pt>
                <c:pt idx="69">
                  <c:v>42414</c:v>
                </c:pt>
                <c:pt idx="70">
                  <c:v>42421</c:v>
                </c:pt>
                <c:pt idx="71">
                  <c:v>42428</c:v>
                </c:pt>
                <c:pt idx="72">
                  <c:v>42435</c:v>
                </c:pt>
                <c:pt idx="73">
                  <c:v>42442</c:v>
                </c:pt>
                <c:pt idx="74">
                  <c:v>42449</c:v>
                </c:pt>
                <c:pt idx="75">
                  <c:v>42456</c:v>
                </c:pt>
                <c:pt idx="76">
                  <c:v>42463</c:v>
                </c:pt>
                <c:pt idx="77">
                  <c:v>42470</c:v>
                </c:pt>
                <c:pt idx="78">
                  <c:v>42477</c:v>
                </c:pt>
                <c:pt idx="79">
                  <c:v>42484</c:v>
                </c:pt>
                <c:pt idx="80">
                  <c:v>42491</c:v>
                </c:pt>
                <c:pt idx="81">
                  <c:v>42498</c:v>
                </c:pt>
                <c:pt idx="82">
                  <c:v>42505</c:v>
                </c:pt>
                <c:pt idx="83">
                  <c:v>42512</c:v>
                </c:pt>
                <c:pt idx="84">
                  <c:v>42519</c:v>
                </c:pt>
                <c:pt idx="85">
                  <c:v>42526</c:v>
                </c:pt>
                <c:pt idx="86">
                  <c:v>42533</c:v>
                </c:pt>
                <c:pt idx="87">
                  <c:v>42540</c:v>
                </c:pt>
                <c:pt idx="88">
                  <c:v>42547</c:v>
                </c:pt>
                <c:pt idx="89">
                  <c:v>42554</c:v>
                </c:pt>
                <c:pt idx="90">
                  <c:v>42561</c:v>
                </c:pt>
                <c:pt idx="91">
                  <c:v>42568</c:v>
                </c:pt>
                <c:pt idx="92">
                  <c:v>42575</c:v>
                </c:pt>
                <c:pt idx="93">
                  <c:v>42582</c:v>
                </c:pt>
                <c:pt idx="94">
                  <c:v>42589</c:v>
                </c:pt>
                <c:pt idx="95">
                  <c:v>42596</c:v>
                </c:pt>
                <c:pt idx="96">
                  <c:v>42603</c:v>
                </c:pt>
                <c:pt idx="97">
                  <c:v>42610</c:v>
                </c:pt>
                <c:pt idx="98">
                  <c:v>42617</c:v>
                </c:pt>
                <c:pt idx="99">
                  <c:v>42624</c:v>
                </c:pt>
                <c:pt idx="100">
                  <c:v>42631</c:v>
                </c:pt>
                <c:pt idx="101">
                  <c:v>42638</c:v>
                </c:pt>
                <c:pt idx="102">
                  <c:v>42645</c:v>
                </c:pt>
                <c:pt idx="103">
                  <c:v>42652</c:v>
                </c:pt>
                <c:pt idx="104">
                  <c:v>42659</c:v>
                </c:pt>
                <c:pt idx="105">
                  <c:v>42666</c:v>
                </c:pt>
                <c:pt idx="106">
                  <c:v>42673</c:v>
                </c:pt>
                <c:pt idx="107">
                  <c:v>42680</c:v>
                </c:pt>
                <c:pt idx="108">
                  <c:v>42687</c:v>
                </c:pt>
                <c:pt idx="109">
                  <c:v>42694</c:v>
                </c:pt>
                <c:pt idx="110">
                  <c:v>42701</c:v>
                </c:pt>
                <c:pt idx="111">
                  <c:v>42708</c:v>
                </c:pt>
                <c:pt idx="112">
                  <c:v>42715</c:v>
                </c:pt>
                <c:pt idx="113">
                  <c:v>42722</c:v>
                </c:pt>
                <c:pt idx="114">
                  <c:v>42729</c:v>
                </c:pt>
                <c:pt idx="115">
                  <c:v>42736</c:v>
                </c:pt>
                <c:pt idx="116">
                  <c:v>42743</c:v>
                </c:pt>
                <c:pt idx="117">
                  <c:v>42750</c:v>
                </c:pt>
                <c:pt idx="118">
                  <c:v>42757</c:v>
                </c:pt>
                <c:pt idx="119">
                  <c:v>42764</c:v>
                </c:pt>
                <c:pt idx="120">
                  <c:v>42771</c:v>
                </c:pt>
                <c:pt idx="121">
                  <c:v>42778</c:v>
                </c:pt>
                <c:pt idx="122">
                  <c:v>42785</c:v>
                </c:pt>
                <c:pt idx="123">
                  <c:v>42792</c:v>
                </c:pt>
                <c:pt idx="124">
                  <c:v>42799</c:v>
                </c:pt>
                <c:pt idx="125">
                  <c:v>42806</c:v>
                </c:pt>
                <c:pt idx="126">
                  <c:v>42813</c:v>
                </c:pt>
                <c:pt idx="127">
                  <c:v>42820</c:v>
                </c:pt>
                <c:pt idx="128">
                  <c:v>42827</c:v>
                </c:pt>
                <c:pt idx="129">
                  <c:v>42834</c:v>
                </c:pt>
                <c:pt idx="130">
                  <c:v>42841</c:v>
                </c:pt>
                <c:pt idx="131">
                  <c:v>42848</c:v>
                </c:pt>
                <c:pt idx="132">
                  <c:v>42855</c:v>
                </c:pt>
                <c:pt idx="133">
                  <c:v>42862</c:v>
                </c:pt>
                <c:pt idx="134">
                  <c:v>42869</c:v>
                </c:pt>
                <c:pt idx="135">
                  <c:v>42876</c:v>
                </c:pt>
                <c:pt idx="136">
                  <c:v>42883</c:v>
                </c:pt>
                <c:pt idx="137">
                  <c:v>42890</c:v>
                </c:pt>
                <c:pt idx="138">
                  <c:v>42897</c:v>
                </c:pt>
                <c:pt idx="139">
                  <c:v>42904</c:v>
                </c:pt>
                <c:pt idx="140">
                  <c:v>42911</c:v>
                </c:pt>
                <c:pt idx="141">
                  <c:v>42918</c:v>
                </c:pt>
                <c:pt idx="142">
                  <c:v>42925</c:v>
                </c:pt>
                <c:pt idx="143">
                  <c:v>42932</c:v>
                </c:pt>
                <c:pt idx="144">
                  <c:v>42939</c:v>
                </c:pt>
                <c:pt idx="145">
                  <c:v>42946</c:v>
                </c:pt>
                <c:pt idx="146">
                  <c:v>42953</c:v>
                </c:pt>
                <c:pt idx="147">
                  <c:v>42960</c:v>
                </c:pt>
                <c:pt idx="148">
                  <c:v>42967</c:v>
                </c:pt>
                <c:pt idx="149">
                  <c:v>42974</c:v>
                </c:pt>
                <c:pt idx="150">
                  <c:v>42981</c:v>
                </c:pt>
                <c:pt idx="151">
                  <c:v>42988</c:v>
                </c:pt>
                <c:pt idx="152">
                  <c:v>42995</c:v>
                </c:pt>
                <c:pt idx="153">
                  <c:v>43002</c:v>
                </c:pt>
                <c:pt idx="154">
                  <c:v>43009</c:v>
                </c:pt>
                <c:pt idx="155">
                  <c:v>43016</c:v>
                </c:pt>
                <c:pt idx="156">
                  <c:v>43023</c:v>
                </c:pt>
                <c:pt idx="157">
                  <c:v>43030</c:v>
                </c:pt>
              </c:numCache>
            </c:numRef>
          </c:xVal>
          <c:yVal>
            <c:numRef>
              <c:f>Sheet1!$B$29:$ZZ$29</c:f>
              <c:numCache>
                <c:formatCode>#,##0</c:formatCode>
                <c:ptCount val="701"/>
                <c:pt idx="0">
                  <c:v>38603</c:v>
                </c:pt>
                <c:pt idx="1">
                  <c:v>44552</c:v>
                </c:pt>
                <c:pt idx="2">
                  <c:v>35736</c:v>
                </c:pt>
                <c:pt idx="3">
                  <c:v>18755</c:v>
                </c:pt>
                <c:pt idx="4">
                  <c:v>27068</c:v>
                </c:pt>
                <c:pt idx="5">
                  <c:v>49461</c:v>
                </c:pt>
                <c:pt idx="6">
                  <c:v>45173</c:v>
                </c:pt>
                <c:pt idx="7">
                  <c:v>35476</c:v>
                </c:pt>
                <c:pt idx="8">
                  <c:v>31608</c:v>
                </c:pt>
                <c:pt idx="9">
                  <c:v>26461</c:v>
                </c:pt>
                <c:pt idx="10">
                  <c:v>20361.400000000001</c:v>
                </c:pt>
                <c:pt idx="11">
                  <c:v>17284.728571428568</c:v>
                </c:pt>
                <c:pt idx="12">
                  <c:v>36052.857142857145</c:v>
                </c:pt>
                <c:pt idx="13">
                  <c:v>29176.428571428572</c:v>
                </c:pt>
                <c:pt idx="14">
                  <c:v>43617.571428571428</c:v>
                </c:pt>
                <c:pt idx="15">
                  <c:v>33372.300000000003</c:v>
                </c:pt>
                <c:pt idx="16">
                  <c:v>31498.428571428569</c:v>
                </c:pt>
                <c:pt idx="17">
                  <c:v>35973.714285714283</c:v>
                </c:pt>
                <c:pt idx="18">
                  <c:v>26767.428571428572</c:v>
                </c:pt>
                <c:pt idx="19">
                  <c:v>25976.428571428569</c:v>
                </c:pt>
                <c:pt idx="20">
                  <c:v>31856.999999999996</c:v>
                </c:pt>
                <c:pt idx="21">
                  <c:v>32647.428571428569</c:v>
                </c:pt>
                <c:pt idx="22">
                  <c:v>23492.142857142859</c:v>
                </c:pt>
                <c:pt idx="23">
                  <c:v>26853.671428571426</c:v>
                </c:pt>
                <c:pt idx="24">
                  <c:v>24303.457142857143</c:v>
                </c:pt>
                <c:pt idx="25">
                  <c:v>20590.000000000004</c:v>
                </c:pt>
                <c:pt idx="26">
                  <c:v>22381.714285714283</c:v>
                </c:pt>
                <c:pt idx="27">
                  <c:v>36860.571428571428</c:v>
                </c:pt>
                <c:pt idx="28">
                  <c:v>33561.271428571425</c:v>
                </c:pt>
                <c:pt idx="29">
                  <c:v>28565</c:v>
                </c:pt>
                <c:pt idx="30">
                  <c:v>24367.114285714288</c:v>
                </c:pt>
                <c:pt idx="31">
                  <c:v>33672.71428571429</c:v>
                </c:pt>
                <c:pt idx="32">
                  <c:v>37717.571428571428</c:v>
                </c:pt>
                <c:pt idx="33">
                  <c:v>84623.157142857148</c:v>
                </c:pt>
                <c:pt idx="34">
                  <c:v>33554</c:v>
                </c:pt>
                <c:pt idx="35">
                  <c:v>44648.857142857145</c:v>
                </c:pt>
                <c:pt idx="36">
                  <c:v>34141.285714285717</c:v>
                </c:pt>
                <c:pt idx="37">
                  <c:v>26661.442857142854</c:v>
                </c:pt>
                <c:pt idx="38">
                  <c:v>25519.428571428572</c:v>
                </c:pt>
                <c:pt idx="39">
                  <c:v>23930.285714285714</c:v>
                </c:pt>
                <c:pt idx="40">
                  <c:v>28491.571428571428</c:v>
                </c:pt>
                <c:pt idx="41">
                  <c:v>113759.42857142858</c:v>
                </c:pt>
                <c:pt idx="42">
                  <c:v>36160.857142857138</c:v>
                </c:pt>
                <c:pt idx="43">
                  <c:v>78012.71428571429</c:v>
                </c:pt>
                <c:pt idx="44">
                  <c:v>112625.4</c:v>
                </c:pt>
                <c:pt idx="45">
                  <c:v>21259.428571428569</c:v>
                </c:pt>
                <c:pt idx="46">
                  <c:v>82658.285714285725</c:v>
                </c:pt>
                <c:pt idx="47">
                  <c:v>50919.857142857138</c:v>
                </c:pt>
                <c:pt idx="48">
                  <c:v>96987.71428571429</c:v>
                </c:pt>
                <c:pt idx="49">
                  <c:v>124057.28571428572</c:v>
                </c:pt>
                <c:pt idx="50">
                  <c:v>94606.28571428571</c:v>
                </c:pt>
                <c:pt idx="51">
                  <c:v>32705</c:v>
                </c:pt>
                <c:pt idx="52">
                  <c:v>44999.428571428572</c:v>
                </c:pt>
                <c:pt idx="53">
                  <c:v>27813.285714285714</c:v>
                </c:pt>
                <c:pt idx="54">
                  <c:v>27568.285714285714</c:v>
                </c:pt>
                <c:pt idx="55">
                  <c:v>58587</c:v>
                </c:pt>
                <c:pt idx="56">
                  <c:v>51568.014285714293</c:v>
                </c:pt>
                <c:pt idx="57">
                  <c:v>59027.428571428572</c:v>
                </c:pt>
                <c:pt idx="58">
                  <c:v>202114.14285714284</c:v>
                </c:pt>
                <c:pt idx="59">
                  <c:v>147707.71428571429</c:v>
                </c:pt>
                <c:pt idx="60">
                  <c:v>84083.71</c:v>
                </c:pt>
                <c:pt idx="61">
                  <c:v>155238.57</c:v>
                </c:pt>
                <c:pt idx="62">
                  <c:v>146455.8542857143</c:v>
                </c:pt>
                <c:pt idx="63">
                  <c:v>143372.57142857142</c:v>
                </c:pt>
                <c:pt idx="64">
                  <c:v>230338</c:v>
                </c:pt>
                <c:pt idx="65">
                  <c:v>126974.57142857143</c:v>
                </c:pt>
                <c:pt idx="66">
                  <c:v>186913.57142857142</c:v>
                </c:pt>
                <c:pt idx="67">
                  <c:v>151088.57142857142</c:v>
                </c:pt>
                <c:pt idx="68">
                  <c:v>168742.5857142857</c:v>
                </c:pt>
                <c:pt idx="69">
                  <c:v>148567.14285714287</c:v>
                </c:pt>
                <c:pt idx="70">
                  <c:v>185159.28571428571</c:v>
                </c:pt>
                <c:pt idx="71">
                  <c:v>367236.68571428576</c:v>
                </c:pt>
                <c:pt idx="72">
                  <c:v>438127.14285714284</c:v>
                </c:pt>
                <c:pt idx="73">
                  <c:v>337114.91428571427</c:v>
                </c:pt>
                <c:pt idx="74">
                  <c:v>211864.74285714285</c:v>
                </c:pt>
                <c:pt idx="75">
                  <c:v>151659.6857142857</c:v>
                </c:pt>
                <c:pt idx="76">
                  <c:v>223458.85714285716</c:v>
                </c:pt>
                <c:pt idx="77">
                  <c:v>149690.28571428571</c:v>
                </c:pt>
                <c:pt idx="78">
                  <c:v>161827.42857142855</c:v>
                </c:pt>
                <c:pt idx="79">
                  <c:v>238262</c:v>
                </c:pt>
                <c:pt idx="80">
                  <c:v>354742.55714285717</c:v>
                </c:pt>
                <c:pt idx="81">
                  <c:v>282883.88571428572</c:v>
                </c:pt>
                <c:pt idx="82">
                  <c:v>89648.37000000001</c:v>
                </c:pt>
                <c:pt idx="83">
                  <c:v>110456.14285714286</c:v>
                </c:pt>
                <c:pt idx="84">
                  <c:v>80236.142857142855</c:v>
                </c:pt>
                <c:pt idx="85">
                  <c:v>207308.14285714287</c:v>
                </c:pt>
                <c:pt idx="86">
                  <c:v>218814.14285714287</c:v>
                </c:pt>
                <c:pt idx="87">
                  <c:v>231353.14285714287</c:v>
                </c:pt>
                <c:pt idx="88">
                  <c:v>258238.14285714287</c:v>
                </c:pt>
                <c:pt idx="89">
                  <c:v>218206</c:v>
                </c:pt>
                <c:pt idx="90">
                  <c:v>191930.71428571429</c:v>
                </c:pt>
                <c:pt idx="91">
                  <c:v>201088.42857142858</c:v>
                </c:pt>
                <c:pt idx="92">
                  <c:v>203457.14285714284</c:v>
                </c:pt>
                <c:pt idx="93">
                  <c:v>170333.02857142859</c:v>
                </c:pt>
                <c:pt idx="94">
                  <c:v>139868.71428571429</c:v>
                </c:pt>
                <c:pt idx="95">
                  <c:v>39849.142857142855</c:v>
                </c:pt>
                <c:pt idx="96">
                  <c:v>19701.857142857145</c:v>
                </c:pt>
                <c:pt idx="97">
                  <c:v>99990</c:v>
                </c:pt>
                <c:pt idx="98">
                  <c:v>132042.57142857142</c:v>
                </c:pt>
                <c:pt idx="99">
                  <c:v>147861.57142857145</c:v>
                </c:pt>
                <c:pt idx="100">
                  <c:v>39493.571428571428</c:v>
                </c:pt>
                <c:pt idx="101">
                  <c:v>32088.571428571431</c:v>
                </c:pt>
                <c:pt idx="102">
                  <c:v>21011.857142857145</c:v>
                </c:pt>
                <c:pt idx="103">
                  <c:v>39191.428571428572</c:v>
                </c:pt>
                <c:pt idx="104">
                  <c:v>68841.285714285725</c:v>
                </c:pt>
                <c:pt idx="105">
                  <c:v>25692.714285714283</c:v>
                </c:pt>
                <c:pt idx="106">
                  <c:v>24294.000000000004</c:v>
                </c:pt>
                <c:pt idx="107">
                  <c:v>30113</c:v>
                </c:pt>
                <c:pt idx="108">
                  <c:v>19284.285714285717</c:v>
                </c:pt>
                <c:pt idx="109">
                  <c:v>18537.571428571428</c:v>
                </c:pt>
                <c:pt idx="110">
                  <c:v>48321.285714285717</c:v>
                </c:pt>
                <c:pt idx="111">
                  <c:v>48135.014285714286</c:v>
                </c:pt>
                <c:pt idx="112">
                  <c:v>23877.857142857145</c:v>
                </c:pt>
                <c:pt idx="113">
                  <c:v>27843.428571428572</c:v>
                </c:pt>
                <c:pt idx="114">
                  <c:v>111452.28571428572</c:v>
                </c:pt>
                <c:pt idx="115">
                  <c:v>21489.857142857141</c:v>
                </c:pt>
                <c:pt idx="116">
                  <c:v>62621</c:v>
                </c:pt>
                <c:pt idx="117">
                  <c:v>467644.85714285716</c:v>
                </c:pt>
                <c:pt idx="118">
                  <c:v>228143.28571428571</c:v>
                </c:pt>
                <c:pt idx="119">
                  <c:v>259712.71428571429</c:v>
                </c:pt>
                <c:pt idx="120">
                  <c:v>826878.85714285716</c:v>
                </c:pt>
                <c:pt idx="121">
                  <c:v>55315.571428571428</c:v>
                </c:pt>
                <c:pt idx="122">
                  <c:v>107697.71428571429</c:v>
                </c:pt>
                <c:pt idx="123">
                  <c:v>83466.314285714281</c:v>
                </c:pt>
                <c:pt idx="124">
                  <c:v>40059.714285714283</c:v>
                </c:pt>
                <c:pt idx="125">
                  <c:v>42936.857142857145</c:v>
                </c:pt>
                <c:pt idx="126">
                  <c:v>212172.57142857142</c:v>
                </c:pt>
                <c:pt idx="127">
                  <c:v>5974</c:v>
                </c:pt>
                <c:pt idx="128">
                  <c:v>5479</c:v>
                </c:pt>
                <c:pt idx="129">
                  <c:v>18278.857142857145</c:v>
                </c:pt>
                <c:pt idx="130">
                  <c:v>7392.2857142857147</c:v>
                </c:pt>
                <c:pt idx="131">
                  <c:v>3570</c:v>
                </c:pt>
                <c:pt idx="132">
                  <c:v>5558.1428571428578</c:v>
                </c:pt>
                <c:pt idx="133">
                  <c:v>14848.285714285714</c:v>
                </c:pt>
                <c:pt idx="134">
                  <c:v>8059.2857142857147</c:v>
                </c:pt>
                <c:pt idx="135">
                  <c:v>6590.3</c:v>
                </c:pt>
                <c:pt idx="136">
                  <c:v>8188.8571428571431</c:v>
                </c:pt>
                <c:pt idx="137">
                  <c:v>9023.8571428571413</c:v>
                </c:pt>
                <c:pt idx="138">
                  <c:v>107207.67142857143</c:v>
                </c:pt>
                <c:pt idx="139">
                  <c:v>42724.428571428572</c:v>
                </c:pt>
                <c:pt idx="140">
                  <c:v>35123.000000000007</c:v>
                </c:pt>
                <c:pt idx="141">
                  <c:v>342238.57142857142</c:v>
                </c:pt>
                <c:pt idx="142">
                  <c:v>12676.714285714286</c:v>
                </c:pt>
                <c:pt idx="143">
                  <c:v>198317.57142857142</c:v>
                </c:pt>
                <c:pt idx="144">
                  <c:v>282378.57142857142</c:v>
                </c:pt>
                <c:pt idx="145">
                  <c:v>30011</c:v>
                </c:pt>
                <c:pt idx="146">
                  <c:v>21351.428571428569</c:v>
                </c:pt>
                <c:pt idx="147">
                  <c:v>40745.285714285717</c:v>
                </c:pt>
                <c:pt idx="148">
                  <c:v>118853.28571428571</c:v>
                </c:pt>
                <c:pt idx="149">
                  <c:v>11342.571428571428</c:v>
                </c:pt>
                <c:pt idx="150">
                  <c:v>16710.428571428572</c:v>
                </c:pt>
                <c:pt idx="151">
                  <c:v>24442.571428571431</c:v>
                </c:pt>
                <c:pt idx="152" formatCode="0">
                  <c:v>78846.142857142855</c:v>
                </c:pt>
                <c:pt idx="153" formatCode="0">
                  <c:v>35014.28571428571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0985952"/>
        <c:axId val="950993568"/>
      </c:scatterChart>
      <c:valAx>
        <c:axId val="950985952"/>
        <c:scaling>
          <c:orientation val="minMax"/>
        </c:scaling>
        <c:delete val="0"/>
        <c:axPos val="b"/>
        <c:numFmt formatCode="m/d/yy;@" sourceLinked="0"/>
        <c:majorTickMark val="out"/>
        <c:minorTickMark val="none"/>
        <c:tickLblPos val="nextTo"/>
        <c:crossAx val="950993568"/>
        <c:crosses val="autoZero"/>
        <c:crossBetween val="midCat"/>
      </c:valAx>
      <c:valAx>
        <c:axId val="950993568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daily rate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950985952"/>
        <c:crossesAt val="41920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Average</a:t>
            </a:r>
            <a:r>
              <a:rPr lang="en-US" sz="1600" b="1" baseline="0"/>
              <a:t> Daily </a:t>
            </a:r>
            <a:r>
              <a:rPr lang="en-US" sz="1600" b="1"/>
              <a:t>Rate of VO Data Requests at NAVO Centers</a:t>
            </a:r>
          </a:p>
        </c:rich>
      </c:tx>
      <c:layout>
        <c:manualLayout>
          <c:xMode val="edge"/>
          <c:yMode val="edge"/>
          <c:x val="0.29131278673157418"/>
          <c:y val="3.9553050529022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82803196353149"/>
          <c:y val="0.1076293007129671"/>
          <c:w val="0.85113500433679179"/>
          <c:h val="0.69351337757357623"/>
        </c:manualLayout>
      </c:layout>
      <c:scatterChart>
        <c:scatterStyle val="lineMarker"/>
        <c:varyColors val="0"/>
        <c:ser>
          <c:idx val="2"/>
          <c:order val="0"/>
          <c:tx>
            <c:v>HEASARC Cone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Sheet1!$C$99:$AG$99</c:f>
              <c:numCache>
                <c:formatCode>m/d/yyyy</c:formatCode>
                <c:ptCount val="31"/>
                <c:pt idx="0">
                  <c:v>41941.5</c:v>
                </c:pt>
                <c:pt idx="1">
                  <c:v>41969.5</c:v>
                </c:pt>
                <c:pt idx="2">
                  <c:v>41997.5</c:v>
                </c:pt>
                <c:pt idx="3">
                  <c:v>42025.5</c:v>
                </c:pt>
                <c:pt idx="4">
                  <c:v>42053.5</c:v>
                </c:pt>
                <c:pt idx="5">
                  <c:v>42081.5</c:v>
                </c:pt>
                <c:pt idx="6">
                  <c:v>42109.5</c:v>
                </c:pt>
                <c:pt idx="7">
                  <c:v>42137.5</c:v>
                </c:pt>
                <c:pt idx="8">
                  <c:v>42165.5</c:v>
                </c:pt>
                <c:pt idx="9">
                  <c:v>42193.5</c:v>
                </c:pt>
                <c:pt idx="10">
                  <c:v>42221.5</c:v>
                </c:pt>
                <c:pt idx="11">
                  <c:v>42249.5</c:v>
                </c:pt>
                <c:pt idx="12">
                  <c:v>42277.5</c:v>
                </c:pt>
                <c:pt idx="13">
                  <c:v>42305.5</c:v>
                </c:pt>
                <c:pt idx="14">
                  <c:v>42333.5</c:v>
                </c:pt>
                <c:pt idx="15">
                  <c:v>42361.5</c:v>
                </c:pt>
                <c:pt idx="16">
                  <c:v>42389.5</c:v>
                </c:pt>
                <c:pt idx="17">
                  <c:v>42417.5</c:v>
                </c:pt>
                <c:pt idx="18">
                  <c:v>42445.5</c:v>
                </c:pt>
                <c:pt idx="19">
                  <c:v>42473.5</c:v>
                </c:pt>
                <c:pt idx="20">
                  <c:v>42501.5</c:v>
                </c:pt>
                <c:pt idx="21">
                  <c:v>42529.5</c:v>
                </c:pt>
                <c:pt idx="22">
                  <c:v>42557.5</c:v>
                </c:pt>
                <c:pt idx="23">
                  <c:v>42585.5</c:v>
                </c:pt>
                <c:pt idx="24">
                  <c:v>42613.5</c:v>
                </c:pt>
                <c:pt idx="25">
                  <c:v>42641.5</c:v>
                </c:pt>
                <c:pt idx="26">
                  <c:v>42669.5</c:v>
                </c:pt>
                <c:pt idx="27">
                  <c:v>42697.5</c:v>
                </c:pt>
                <c:pt idx="28">
                  <c:v>42725.5</c:v>
                </c:pt>
                <c:pt idx="29">
                  <c:v>42753.5</c:v>
                </c:pt>
                <c:pt idx="30">
                  <c:v>42781.5</c:v>
                </c:pt>
              </c:numCache>
            </c:numRef>
          </c:xVal>
          <c:yVal>
            <c:numRef>
              <c:f>Sheet1!$C$102:$AG$102</c:f>
              <c:numCache>
                <c:formatCode>0</c:formatCode>
                <c:ptCount val="31"/>
                <c:pt idx="0">
                  <c:v>11925</c:v>
                </c:pt>
                <c:pt idx="1">
                  <c:v>20046.25</c:v>
                </c:pt>
                <c:pt idx="2">
                  <c:v>13615.5</c:v>
                </c:pt>
                <c:pt idx="3">
                  <c:v>22058</c:v>
                </c:pt>
                <c:pt idx="4">
                  <c:v>16454</c:v>
                </c:pt>
                <c:pt idx="5">
                  <c:v>13020.75</c:v>
                </c:pt>
                <c:pt idx="6">
                  <c:v>7450.9</c:v>
                </c:pt>
                <c:pt idx="7">
                  <c:v>10792.25</c:v>
                </c:pt>
                <c:pt idx="8">
                  <c:v>24204.25</c:v>
                </c:pt>
                <c:pt idx="9">
                  <c:v>9075.75</c:v>
                </c:pt>
                <c:pt idx="10">
                  <c:v>17609.25</c:v>
                </c:pt>
                <c:pt idx="11">
                  <c:v>26047.25</c:v>
                </c:pt>
                <c:pt idx="12">
                  <c:v>14256</c:v>
                </c:pt>
                <c:pt idx="13">
                  <c:v>8906</c:v>
                </c:pt>
                <c:pt idx="14">
                  <c:v>13319</c:v>
                </c:pt>
                <c:pt idx="15">
                  <c:v>7539.25</c:v>
                </c:pt>
                <c:pt idx="16">
                  <c:v>7671.25</c:v>
                </c:pt>
                <c:pt idx="17">
                  <c:v>6667.75</c:v>
                </c:pt>
                <c:pt idx="18">
                  <c:v>7324.2250000000004</c:v>
                </c:pt>
                <c:pt idx="19">
                  <c:v>8089.25</c:v>
                </c:pt>
                <c:pt idx="20">
                  <c:v>6992.25</c:v>
                </c:pt>
                <c:pt idx="21">
                  <c:v>9672.25</c:v>
                </c:pt>
                <c:pt idx="22">
                  <c:v>9217.5</c:v>
                </c:pt>
                <c:pt idx="23">
                  <c:v>8778</c:v>
                </c:pt>
                <c:pt idx="24">
                  <c:v>9530.25</c:v>
                </c:pt>
                <c:pt idx="25">
                  <c:v>10312.25</c:v>
                </c:pt>
                <c:pt idx="26">
                  <c:v>5077</c:v>
                </c:pt>
                <c:pt idx="27">
                  <c:v>6353.75</c:v>
                </c:pt>
                <c:pt idx="28">
                  <c:v>6050.5</c:v>
                </c:pt>
                <c:pt idx="29">
                  <c:v>8422.75</c:v>
                </c:pt>
                <c:pt idx="30">
                  <c:v>5405.75</c:v>
                </c:pt>
              </c:numCache>
            </c:numRef>
          </c:yVal>
          <c:smooth val="0"/>
        </c:ser>
        <c:ser>
          <c:idx val="3"/>
          <c:order val="1"/>
          <c:tx>
            <c:v>HEASARC Table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Sheet1!$C$99:$AG$99</c:f>
              <c:numCache>
                <c:formatCode>m/d/yyyy</c:formatCode>
                <c:ptCount val="31"/>
                <c:pt idx="0">
                  <c:v>41941.5</c:v>
                </c:pt>
                <c:pt idx="1">
                  <c:v>41969.5</c:v>
                </c:pt>
                <c:pt idx="2">
                  <c:v>41997.5</c:v>
                </c:pt>
                <c:pt idx="3">
                  <c:v>42025.5</c:v>
                </c:pt>
                <c:pt idx="4">
                  <c:v>42053.5</c:v>
                </c:pt>
                <c:pt idx="5">
                  <c:v>42081.5</c:v>
                </c:pt>
                <c:pt idx="6">
                  <c:v>42109.5</c:v>
                </c:pt>
                <c:pt idx="7">
                  <c:v>42137.5</c:v>
                </c:pt>
                <c:pt idx="8">
                  <c:v>42165.5</c:v>
                </c:pt>
                <c:pt idx="9">
                  <c:v>42193.5</c:v>
                </c:pt>
                <c:pt idx="10">
                  <c:v>42221.5</c:v>
                </c:pt>
                <c:pt idx="11">
                  <c:v>42249.5</c:v>
                </c:pt>
                <c:pt idx="12">
                  <c:v>42277.5</c:v>
                </c:pt>
                <c:pt idx="13">
                  <c:v>42305.5</c:v>
                </c:pt>
                <c:pt idx="14">
                  <c:v>42333.5</c:v>
                </c:pt>
                <c:pt idx="15">
                  <c:v>42361.5</c:v>
                </c:pt>
                <c:pt idx="16">
                  <c:v>42389.5</c:v>
                </c:pt>
                <c:pt idx="17">
                  <c:v>42417.5</c:v>
                </c:pt>
                <c:pt idx="18">
                  <c:v>42445.5</c:v>
                </c:pt>
                <c:pt idx="19">
                  <c:v>42473.5</c:v>
                </c:pt>
                <c:pt idx="20">
                  <c:v>42501.5</c:v>
                </c:pt>
                <c:pt idx="21">
                  <c:v>42529.5</c:v>
                </c:pt>
                <c:pt idx="22">
                  <c:v>42557.5</c:v>
                </c:pt>
                <c:pt idx="23">
                  <c:v>42585.5</c:v>
                </c:pt>
                <c:pt idx="24">
                  <c:v>42613.5</c:v>
                </c:pt>
                <c:pt idx="25">
                  <c:v>42641.5</c:v>
                </c:pt>
                <c:pt idx="26">
                  <c:v>42669.5</c:v>
                </c:pt>
                <c:pt idx="27">
                  <c:v>42697.5</c:v>
                </c:pt>
                <c:pt idx="28">
                  <c:v>42725.5</c:v>
                </c:pt>
                <c:pt idx="29">
                  <c:v>42753.5</c:v>
                </c:pt>
                <c:pt idx="30">
                  <c:v>42781.5</c:v>
                </c:pt>
              </c:numCache>
            </c:numRef>
          </c:xVal>
          <c:yVal>
            <c:numRef>
              <c:f>Sheet1!$C$103:$AG$103</c:f>
              <c:numCache>
                <c:formatCode>0</c:formatCode>
                <c:ptCount val="31"/>
                <c:pt idx="0">
                  <c:v>460.75</c:v>
                </c:pt>
                <c:pt idx="1">
                  <c:v>554.75</c:v>
                </c:pt>
                <c:pt idx="2">
                  <c:v>3.5</c:v>
                </c:pt>
                <c:pt idx="3">
                  <c:v>1139</c:v>
                </c:pt>
                <c:pt idx="4">
                  <c:v>835.25</c:v>
                </c:pt>
                <c:pt idx="5">
                  <c:v>883.25</c:v>
                </c:pt>
                <c:pt idx="6">
                  <c:v>990.75</c:v>
                </c:pt>
                <c:pt idx="7">
                  <c:v>720.67499999999995</c:v>
                </c:pt>
                <c:pt idx="8">
                  <c:v>962.5</c:v>
                </c:pt>
                <c:pt idx="9">
                  <c:v>1079.25</c:v>
                </c:pt>
                <c:pt idx="10">
                  <c:v>1527</c:v>
                </c:pt>
                <c:pt idx="11">
                  <c:v>974.5</c:v>
                </c:pt>
                <c:pt idx="12">
                  <c:v>1042</c:v>
                </c:pt>
                <c:pt idx="13">
                  <c:v>925</c:v>
                </c:pt>
                <c:pt idx="14">
                  <c:v>894</c:v>
                </c:pt>
                <c:pt idx="15">
                  <c:v>944.25</c:v>
                </c:pt>
                <c:pt idx="16">
                  <c:v>1009.25</c:v>
                </c:pt>
                <c:pt idx="17">
                  <c:v>358.25</c:v>
                </c:pt>
                <c:pt idx="18">
                  <c:v>72.424999999999997</c:v>
                </c:pt>
                <c:pt idx="19">
                  <c:v>135</c:v>
                </c:pt>
                <c:pt idx="20">
                  <c:v>78.174999999999997</c:v>
                </c:pt>
                <c:pt idx="21">
                  <c:v>75.25</c:v>
                </c:pt>
                <c:pt idx="22">
                  <c:v>85.5</c:v>
                </c:pt>
                <c:pt idx="23">
                  <c:v>70.400000000000006</c:v>
                </c:pt>
                <c:pt idx="24">
                  <c:v>27.5</c:v>
                </c:pt>
                <c:pt idx="25">
                  <c:v>412</c:v>
                </c:pt>
                <c:pt idx="26">
                  <c:v>1187.5</c:v>
                </c:pt>
                <c:pt idx="27">
                  <c:v>1533.075</c:v>
                </c:pt>
                <c:pt idx="28">
                  <c:v>1452.75</c:v>
                </c:pt>
                <c:pt idx="29">
                  <c:v>1070.75</c:v>
                </c:pt>
                <c:pt idx="30">
                  <c:v>1051.5999999999999</c:v>
                </c:pt>
              </c:numCache>
            </c:numRef>
          </c:yVal>
          <c:smooth val="0"/>
        </c:ser>
        <c:ser>
          <c:idx val="5"/>
          <c:order val="2"/>
          <c:tx>
            <c:v>HEASARC Images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Sheet1!$C$99:$AG$99</c:f>
              <c:numCache>
                <c:formatCode>m/d/yyyy</c:formatCode>
                <c:ptCount val="31"/>
                <c:pt idx="0">
                  <c:v>41941.5</c:v>
                </c:pt>
                <c:pt idx="1">
                  <c:v>41969.5</c:v>
                </c:pt>
                <c:pt idx="2">
                  <c:v>41997.5</c:v>
                </c:pt>
                <c:pt idx="3">
                  <c:v>42025.5</c:v>
                </c:pt>
                <c:pt idx="4">
                  <c:v>42053.5</c:v>
                </c:pt>
                <c:pt idx="5">
                  <c:v>42081.5</c:v>
                </c:pt>
                <c:pt idx="6">
                  <c:v>42109.5</c:v>
                </c:pt>
                <c:pt idx="7">
                  <c:v>42137.5</c:v>
                </c:pt>
                <c:pt idx="8">
                  <c:v>42165.5</c:v>
                </c:pt>
                <c:pt idx="9">
                  <c:v>42193.5</c:v>
                </c:pt>
                <c:pt idx="10">
                  <c:v>42221.5</c:v>
                </c:pt>
                <c:pt idx="11">
                  <c:v>42249.5</c:v>
                </c:pt>
                <c:pt idx="12">
                  <c:v>42277.5</c:v>
                </c:pt>
                <c:pt idx="13">
                  <c:v>42305.5</c:v>
                </c:pt>
                <c:pt idx="14">
                  <c:v>42333.5</c:v>
                </c:pt>
                <c:pt idx="15">
                  <c:v>42361.5</c:v>
                </c:pt>
                <c:pt idx="16">
                  <c:v>42389.5</c:v>
                </c:pt>
                <c:pt idx="17">
                  <c:v>42417.5</c:v>
                </c:pt>
                <c:pt idx="18">
                  <c:v>42445.5</c:v>
                </c:pt>
                <c:pt idx="19">
                  <c:v>42473.5</c:v>
                </c:pt>
                <c:pt idx="20">
                  <c:v>42501.5</c:v>
                </c:pt>
                <c:pt idx="21">
                  <c:v>42529.5</c:v>
                </c:pt>
                <c:pt idx="22">
                  <c:v>42557.5</c:v>
                </c:pt>
                <c:pt idx="23">
                  <c:v>42585.5</c:v>
                </c:pt>
                <c:pt idx="24">
                  <c:v>42613.5</c:v>
                </c:pt>
                <c:pt idx="25">
                  <c:v>42641.5</c:v>
                </c:pt>
                <c:pt idx="26">
                  <c:v>42669.5</c:v>
                </c:pt>
                <c:pt idx="27">
                  <c:v>42697.5</c:v>
                </c:pt>
                <c:pt idx="28">
                  <c:v>42725.5</c:v>
                </c:pt>
                <c:pt idx="29">
                  <c:v>42753.5</c:v>
                </c:pt>
                <c:pt idx="30">
                  <c:v>42781.5</c:v>
                </c:pt>
              </c:numCache>
            </c:numRef>
          </c:xVal>
          <c:yVal>
            <c:numRef>
              <c:f>Sheet1!$C$105:$AG$105</c:f>
              <c:numCache>
                <c:formatCode>0</c:formatCode>
                <c:ptCount val="31"/>
                <c:pt idx="0">
                  <c:v>2373.75</c:v>
                </c:pt>
                <c:pt idx="1">
                  <c:v>4946</c:v>
                </c:pt>
                <c:pt idx="2">
                  <c:v>2378.6749999999997</c:v>
                </c:pt>
                <c:pt idx="3">
                  <c:v>3037.5</c:v>
                </c:pt>
                <c:pt idx="4">
                  <c:v>2944.25</c:v>
                </c:pt>
                <c:pt idx="5">
                  <c:v>2761.75</c:v>
                </c:pt>
                <c:pt idx="6">
                  <c:v>1942</c:v>
                </c:pt>
                <c:pt idx="7">
                  <c:v>2020</c:v>
                </c:pt>
                <c:pt idx="8">
                  <c:v>3163</c:v>
                </c:pt>
                <c:pt idx="9">
                  <c:v>1868.5</c:v>
                </c:pt>
                <c:pt idx="10">
                  <c:v>1824</c:v>
                </c:pt>
                <c:pt idx="11">
                  <c:v>1761.85</c:v>
                </c:pt>
                <c:pt idx="12">
                  <c:v>4570</c:v>
                </c:pt>
                <c:pt idx="13">
                  <c:v>2759.75</c:v>
                </c:pt>
                <c:pt idx="14">
                  <c:v>3307.5</c:v>
                </c:pt>
                <c:pt idx="15">
                  <c:v>1616.5</c:v>
                </c:pt>
                <c:pt idx="16">
                  <c:v>2437.75</c:v>
                </c:pt>
                <c:pt idx="17">
                  <c:v>2342</c:v>
                </c:pt>
                <c:pt idx="18">
                  <c:v>3910</c:v>
                </c:pt>
                <c:pt idx="19">
                  <c:v>2590.25</c:v>
                </c:pt>
                <c:pt idx="20">
                  <c:v>2510.75</c:v>
                </c:pt>
                <c:pt idx="21">
                  <c:v>2328</c:v>
                </c:pt>
                <c:pt idx="22">
                  <c:v>1618</c:v>
                </c:pt>
                <c:pt idx="23">
                  <c:v>1583.75</c:v>
                </c:pt>
                <c:pt idx="24">
                  <c:v>2585</c:v>
                </c:pt>
                <c:pt idx="25">
                  <c:v>2601.25</c:v>
                </c:pt>
                <c:pt idx="26">
                  <c:v>2769</c:v>
                </c:pt>
                <c:pt idx="27">
                  <c:v>3859.75</c:v>
                </c:pt>
                <c:pt idx="28">
                  <c:v>2414.75</c:v>
                </c:pt>
                <c:pt idx="29">
                  <c:v>2111.25</c:v>
                </c:pt>
                <c:pt idx="30">
                  <c:v>2605.6</c:v>
                </c:pt>
              </c:numCache>
            </c:numRef>
          </c:yVal>
          <c:smooth val="0"/>
        </c:ser>
        <c:ser>
          <c:idx val="8"/>
          <c:order val="3"/>
          <c:tx>
            <c:v>MAST Cone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Sheet1!$C$99:$AG$99</c:f>
              <c:numCache>
                <c:formatCode>m/d/yyyy</c:formatCode>
                <c:ptCount val="31"/>
                <c:pt idx="0">
                  <c:v>41941.5</c:v>
                </c:pt>
                <c:pt idx="1">
                  <c:v>41969.5</c:v>
                </c:pt>
                <c:pt idx="2">
                  <c:v>41997.5</c:v>
                </c:pt>
                <c:pt idx="3">
                  <c:v>42025.5</c:v>
                </c:pt>
                <c:pt idx="4">
                  <c:v>42053.5</c:v>
                </c:pt>
                <c:pt idx="5">
                  <c:v>42081.5</c:v>
                </c:pt>
                <c:pt idx="6">
                  <c:v>42109.5</c:v>
                </c:pt>
                <c:pt idx="7">
                  <c:v>42137.5</c:v>
                </c:pt>
                <c:pt idx="8">
                  <c:v>42165.5</c:v>
                </c:pt>
                <c:pt idx="9">
                  <c:v>42193.5</c:v>
                </c:pt>
                <c:pt idx="10">
                  <c:v>42221.5</c:v>
                </c:pt>
                <c:pt idx="11">
                  <c:v>42249.5</c:v>
                </c:pt>
                <c:pt idx="12">
                  <c:v>42277.5</c:v>
                </c:pt>
                <c:pt idx="13">
                  <c:v>42305.5</c:v>
                </c:pt>
                <c:pt idx="14">
                  <c:v>42333.5</c:v>
                </c:pt>
                <c:pt idx="15">
                  <c:v>42361.5</c:v>
                </c:pt>
                <c:pt idx="16">
                  <c:v>42389.5</c:v>
                </c:pt>
                <c:pt idx="17">
                  <c:v>42417.5</c:v>
                </c:pt>
                <c:pt idx="18">
                  <c:v>42445.5</c:v>
                </c:pt>
                <c:pt idx="19">
                  <c:v>42473.5</c:v>
                </c:pt>
                <c:pt idx="20">
                  <c:v>42501.5</c:v>
                </c:pt>
                <c:pt idx="21">
                  <c:v>42529.5</c:v>
                </c:pt>
                <c:pt idx="22">
                  <c:v>42557.5</c:v>
                </c:pt>
                <c:pt idx="23">
                  <c:v>42585.5</c:v>
                </c:pt>
                <c:pt idx="24">
                  <c:v>42613.5</c:v>
                </c:pt>
                <c:pt idx="25">
                  <c:v>42641.5</c:v>
                </c:pt>
                <c:pt idx="26">
                  <c:v>42669.5</c:v>
                </c:pt>
                <c:pt idx="27">
                  <c:v>42697.5</c:v>
                </c:pt>
                <c:pt idx="28">
                  <c:v>42725.5</c:v>
                </c:pt>
                <c:pt idx="29">
                  <c:v>42753.5</c:v>
                </c:pt>
                <c:pt idx="30">
                  <c:v>42781.5</c:v>
                </c:pt>
              </c:numCache>
            </c:numRef>
          </c:xVal>
          <c:yVal>
            <c:numRef>
              <c:f>Sheet1!$C$108:$AG$108</c:f>
              <c:numCache>
                <c:formatCode>0</c:formatCode>
                <c:ptCount val="31"/>
                <c:pt idx="0">
                  <c:v>1479.75</c:v>
                </c:pt>
                <c:pt idx="1">
                  <c:v>1994.75</c:v>
                </c:pt>
                <c:pt idx="2">
                  <c:v>981.75</c:v>
                </c:pt>
                <c:pt idx="3">
                  <c:v>1450</c:v>
                </c:pt>
                <c:pt idx="4">
                  <c:v>1244.25</c:v>
                </c:pt>
                <c:pt idx="5">
                  <c:v>1214.5</c:v>
                </c:pt>
                <c:pt idx="6">
                  <c:v>1108.75</c:v>
                </c:pt>
                <c:pt idx="7">
                  <c:v>1359.75</c:v>
                </c:pt>
                <c:pt idx="8">
                  <c:v>1587.75</c:v>
                </c:pt>
                <c:pt idx="9">
                  <c:v>948.25</c:v>
                </c:pt>
                <c:pt idx="10">
                  <c:v>3005</c:v>
                </c:pt>
                <c:pt idx="11">
                  <c:v>1121.75</c:v>
                </c:pt>
                <c:pt idx="12">
                  <c:v>2054</c:v>
                </c:pt>
                <c:pt idx="13">
                  <c:v>1458.5</c:v>
                </c:pt>
                <c:pt idx="14">
                  <c:v>1885.25</c:v>
                </c:pt>
                <c:pt idx="15">
                  <c:v>796.25</c:v>
                </c:pt>
                <c:pt idx="16">
                  <c:v>775.75</c:v>
                </c:pt>
                <c:pt idx="17">
                  <c:v>980.5</c:v>
                </c:pt>
                <c:pt idx="18">
                  <c:v>1819.75</c:v>
                </c:pt>
                <c:pt idx="19">
                  <c:v>1247.5</c:v>
                </c:pt>
                <c:pt idx="20">
                  <c:v>1273.75</c:v>
                </c:pt>
                <c:pt idx="21">
                  <c:v>1293.75</c:v>
                </c:pt>
                <c:pt idx="22">
                  <c:v>784.25</c:v>
                </c:pt>
                <c:pt idx="23">
                  <c:v>937</c:v>
                </c:pt>
                <c:pt idx="24">
                  <c:v>1584</c:v>
                </c:pt>
                <c:pt idx="25">
                  <c:v>1495.25</c:v>
                </c:pt>
                <c:pt idx="26">
                  <c:v>1847.25</c:v>
                </c:pt>
                <c:pt idx="27">
                  <c:v>1342.75</c:v>
                </c:pt>
                <c:pt idx="28">
                  <c:v>1197</c:v>
                </c:pt>
                <c:pt idx="29">
                  <c:v>1087</c:v>
                </c:pt>
                <c:pt idx="30">
                  <c:v>10997.25</c:v>
                </c:pt>
              </c:numCache>
            </c:numRef>
          </c:yVal>
          <c:smooth val="0"/>
        </c:ser>
        <c:ser>
          <c:idx val="9"/>
          <c:order val="4"/>
          <c:tx>
            <c:v>MAST Images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Sheet1!$C$99:$AG$99</c:f>
              <c:numCache>
                <c:formatCode>m/d/yyyy</c:formatCode>
                <c:ptCount val="31"/>
                <c:pt idx="0">
                  <c:v>41941.5</c:v>
                </c:pt>
                <c:pt idx="1">
                  <c:v>41969.5</c:v>
                </c:pt>
                <c:pt idx="2">
                  <c:v>41997.5</c:v>
                </c:pt>
                <c:pt idx="3">
                  <c:v>42025.5</c:v>
                </c:pt>
                <c:pt idx="4">
                  <c:v>42053.5</c:v>
                </c:pt>
                <c:pt idx="5">
                  <c:v>42081.5</c:v>
                </c:pt>
                <c:pt idx="6">
                  <c:v>42109.5</c:v>
                </c:pt>
                <c:pt idx="7">
                  <c:v>42137.5</c:v>
                </c:pt>
                <c:pt idx="8">
                  <c:v>42165.5</c:v>
                </c:pt>
                <c:pt idx="9">
                  <c:v>42193.5</c:v>
                </c:pt>
                <c:pt idx="10">
                  <c:v>42221.5</c:v>
                </c:pt>
                <c:pt idx="11">
                  <c:v>42249.5</c:v>
                </c:pt>
                <c:pt idx="12">
                  <c:v>42277.5</c:v>
                </c:pt>
                <c:pt idx="13">
                  <c:v>42305.5</c:v>
                </c:pt>
                <c:pt idx="14">
                  <c:v>42333.5</c:v>
                </c:pt>
                <c:pt idx="15">
                  <c:v>42361.5</c:v>
                </c:pt>
                <c:pt idx="16">
                  <c:v>42389.5</c:v>
                </c:pt>
                <c:pt idx="17">
                  <c:v>42417.5</c:v>
                </c:pt>
                <c:pt idx="18">
                  <c:v>42445.5</c:v>
                </c:pt>
                <c:pt idx="19">
                  <c:v>42473.5</c:v>
                </c:pt>
                <c:pt idx="20">
                  <c:v>42501.5</c:v>
                </c:pt>
                <c:pt idx="21">
                  <c:v>42529.5</c:v>
                </c:pt>
                <c:pt idx="22">
                  <c:v>42557.5</c:v>
                </c:pt>
                <c:pt idx="23">
                  <c:v>42585.5</c:v>
                </c:pt>
                <c:pt idx="24">
                  <c:v>42613.5</c:v>
                </c:pt>
                <c:pt idx="25">
                  <c:v>42641.5</c:v>
                </c:pt>
                <c:pt idx="26">
                  <c:v>42669.5</c:v>
                </c:pt>
                <c:pt idx="27">
                  <c:v>42697.5</c:v>
                </c:pt>
                <c:pt idx="28">
                  <c:v>42725.5</c:v>
                </c:pt>
                <c:pt idx="29">
                  <c:v>42753.5</c:v>
                </c:pt>
                <c:pt idx="30">
                  <c:v>42781.5</c:v>
                </c:pt>
              </c:numCache>
            </c:numRef>
          </c:xVal>
          <c:yVal>
            <c:numRef>
              <c:f>Sheet1!$C$110:$AG$110</c:f>
              <c:numCache>
                <c:formatCode>0</c:formatCode>
                <c:ptCount val="31"/>
                <c:pt idx="0">
                  <c:v>4262.75</c:v>
                </c:pt>
                <c:pt idx="1">
                  <c:v>2866</c:v>
                </c:pt>
                <c:pt idx="2">
                  <c:v>1495.75</c:v>
                </c:pt>
                <c:pt idx="3">
                  <c:v>1962.75</c:v>
                </c:pt>
                <c:pt idx="4">
                  <c:v>1962.25</c:v>
                </c:pt>
                <c:pt idx="5">
                  <c:v>1888</c:v>
                </c:pt>
                <c:pt idx="6">
                  <c:v>1508</c:v>
                </c:pt>
                <c:pt idx="7">
                  <c:v>1602</c:v>
                </c:pt>
                <c:pt idx="8">
                  <c:v>1854.25</c:v>
                </c:pt>
                <c:pt idx="9">
                  <c:v>1422.75</c:v>
                </c:pt>
                <c:pt idx="10">
                  <c:v>1204.5</c:v>
                </c:pt>
                <c:pt idx="11">
                  <c:v>1004.5</c:v>
                </c:pt>
                <c:pt idx="12">
                  <c:v>2801</c:v>
                </c:pt>
                <c:pt idx="13">
                  <c:v>1941.5</c:v>
                </c:pt>
                <c:pt idx="14">
                  <c:v>2342.25</c:v>
                </c:pt>
                <c:pt idx="15">
                  <c:v>6833</c:v>
                </c:pt>
                <c:pt idx="16">
                  <c:v>23783.5</c:v>
                </c:pt>
                <c:pt idx="17">
                  <c:v>1392.5</c:v>
                </c:pt>
                <c:pt idx="18">
                  <c:v>2505</c:v>
                </c:pt>
                <c:pt idx="19">
                  <c:v>1775.25</c:v>
                </c:pt>
                <c:pt idx="20">
                  <c:v>1745</c:v>
                </c:pt>
                <c:pt idx="21">
                  <c:v>1785.5</c:v>
                </c:pt>
                <c:pt idx="22">
                  <c:v>1096.25</c:v>
                </c:pt>
                <c:pt idx="23">
                  <c:v>898.75</c:v>
                </c:pt>
                <c:pt idx="24">
                  <c:v>2029.5</c:v>
                </c:pt>
                <c:pt idx="25">
                  <c:v>1770.25</c:v>
                </c:pt>
                <c:pt idx="26">
                  <c:v>1964.75</c:v>
                </c:pt>
                <c:pt idx="27">
                  <c:v>2443.5</c:v>
                </c:pt>
                <c:pt idx="28">
                  <c:v>1654</c:v>
                </c:pt>
                <c:pt idx="29">
                  <c:v>2058.5</c:v>
                </c:pt>
                <c:pt idx="30">
                  <c:v>1926</c:v>
                </c:pt>
              </c:numCache>
            </c:numRef>
          </c:yVal>
          <c:smooth val="0"/>
        </c:ser>
        <c:ser>
          <c:idx val="10"/>
          <c:order val="5"/>
          <c:tx>
            <c:v>MAST Spectra</c:v>
          </c:tx>
          <c:spPr>
            <a:ln w="28575" cap="rnd">
              <a:noFill/>
              <a:round/>
            </a:ln>
            <a:effectLst/>
          </c:spPr>
          <c:marker>
            <c:symbol val="x"/>
            <c:size val="5"/>
            <c:spPr>
              <a:solidFill>
                <a:schemeClr val="accent3"/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Sheet1!$C$99:$AG$99</c:f>
              <c:numCache>
                <c:formatCode>m/d/yyyy</c:formatCode>
                <c:ptCount val="31"/>
                <c:pt idx="0">
                  <c:v>41941.5</c:v>
                </c:pt>
                <c:pt idx="1">
                  <c:v>41969.5</c:v>
                </c:pt>
                <c:pt idx="2">
                  <c:v>41997.5</c:v>
                </c:pt>
                <c:pt idx="3">
                  <c:v>42025.5</c:v>
                </c:pt>
                <c:pt idx="4">
                  <c:v>42053.5</c:v>
                </c:pt>
                <c:pt idx="5">
                  <c:v>42081.5</c:v>
                </c:pt>
                <c:pt idx="6">
                  <c:v>42109.5</c:v>
                </c:pt>
                <c:pt idx="7">
                  <c:v>42137.5</c:v>
                </c:pt>
                <c:pt idx="8">
                  <c:v>42165.5</c:v>
                </c:pt>
                <c:pt idx="9">
                  <c:v>42193.5</c:v>
                </c:pt>
                <c:pt idx="10">
                  <c:v>42221.5</c:v>
                </c:pt>
                <c:pt idx="11">
                  <c:v>42249.5</c:v>
                </c:pt>
                <c:pt idx="12">
                  <c:v>42277.5</c:v>
                </c:pt>
                <c:pt idx="13">
                  <c:v>42305.5</c:v>
                </c:pt>
                <c:pt idx="14">
                  <c:v>42333.5</c:v>
                </c:pt>
                <c:pt idx="15">
                  <c:v>42361.5</c:v>
                </c:pt>
                <c:pt idx="16">
                  <c:v>42389.5</c:v>
                </c:pt>
                <c:pt idx="17">
                  <c:v>42417.5</c:v>
                </c:pt>
                <c:pt idx="18">
                  <c:v>42445.5</c:v>
                </c:pt>
                <c:pt idx="19">
                  <c:v>42473.5</c:v>
                </c:pt>
                <c:pt idx="20">
                  <c:v>42501.5</c:v>
                </c:pt>
                <c:pt idx="21">
                  <c:v>42529.5</c:v>
                </c:pt>
                <c:pt idx="22">
                  <c:v>42557.5</c:v>
                </c:pt>
                <c:pt idx="23">
                  <c:v>42585.5</c:v>
                </c:pt>
                <c:pt idx="24">
                  <c:v>42613.5</c:v>
                </c:pt>
                <c:pt idx="25">
                  <c:v>42641.5</c:v>
                </c:pt>
                <c:pt idx="26">
                  <c:v>42669.5</c:v>
                </c:pt>
                <c:pt idx="27">
                  <c:v>42697.5</c:v>
                </c:pt>
                <c:pt idx="28">
                  <c:v>42725.5</c:v>
                </c:pt>
                <c:pt idx="29">
                  <c:v>42753.5</c:v>
                </c:pt>
                <c:pt idx="30">
                  <c:v>42781.5</c:v>
                </c:pt>
              </c:numCache>
            </c:numRef>
          </c:xVal>
          <c:yVal>
            <c:numRef>
              <c:f>Sheet1!$C$111:$AG$111</c:f>
              <c:numCache>
                <c:formatCode>0</c:formatCode>
                <c:ptCount val="31"/>
                <c:pt idx="0">
                  <c:v>1037.5</c:v>
                </c:pt>
                <c:pt idx="1">
                  <c:v>2085.25</c:v>
                </c:pt>
                <c:pt idx="2">
                  <c:v>822.5</c:v>
                </c:pt>
                <c:pt idx="3">
                  <c:v>884.25</c:v>
                </c:pt>
                <c:pt idx="4">
                  <c:v>1310.25</c:v>
                </c:pt>
                <c:pt idx="5">
                  <c:v>1001.25</c:v>
                </c:pt>
                <c:pt idx="6">
                  <c:v>1200.75</c:v>
                </c:pt>
                <c:pt idx="7">
                  <c:v>1091.25</c:v>
                </c:pt>
                <c:pt idx="8">
                  <c:v>1970.75</c:v>
                </c:pt>
                <c:pt idx="9">
                  <c:v>953.5</c:v>
                </c:pt>
                <c:pt idx="10">
                  <c:v>1101.5</c:v>
                </c:pt>
                <c:pt idx="11">
                  <c:v>1256.25</c:v>
                </c:pt>
                <c:pt idx="12">
                  <c:v>1468.25</c:v>
                </c:pt>
                <c:pt idx="13">
                  <c:v>1232.25</c:v>
                </c:pt>
                <c:pt idx="14">
                  <c:v>1391.5</c:v>
                </c:pt>
                <c:pt idx="15">
                  <c:v>2970.75</c:v>
                </c:pt>
                <c:pt idx="16">
                  <c:v>893.5</c:v>
                </c:pt>
                <c:pt idx="17">
                  <c:v>902.75</c:v>
                </c:pt>
                <c:pt idx="18">
                  <c:v>2381.75</c:v>
                </c:pt>
                <c:pt idx="19">
                  <c:v>1467.5</c:v>
                </c:pt>
                <c:pt idx="20">
                  <c:v>1022</c:v>
                </c:pt>
                <c:pt idx="21">
                  <c:v>1188.75</c:v>
                </c:pt>
                <c:pt idx="22">
                  <c:v>927.5</c:v>
                </c:pt>
                <c:pt idx="23">
                  <c:v>630.25</c:v>
                </c:pt>
                <c:pt idx="24">
                  <c:v>1450.75</c:v>
                </c:pt>
                <c:pt idx="25">
                  <c:v>818.25</c:v>
                </c:pt>
                <c:pt idx="26">
                  <c:v>943.75</c:v>
                </c:pt>
                <c:pt idx="27">
                  <c:v>876.25</c:v>
                </c:pt>
                <c:pt idx="28">
                  <c:v>856.5</c:v>
                </c:pt>
                <c:pt idx="29">
                  <c:v>1060</c:v>
                </c:pt>
                <c:pt idx="30">
                  <c:v>956.75</c:v>
                </c:pt>
              </c:numCache>
            </c:numRef>
          </c:yVal>
          <c:smooth val="0"/>
        </c:ser>
        <c:ser>
          <c:idx val="11"/>
          <c:order val="6"/>
          <c:tx>
            <c:v>MAST Registry</c:v>
          </c:tx>
          <c:spPr>
            <a:ln w="28575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accent3"/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Sheet1!$C$99:$AG$99</c:f>
              <c:numCache>
                <c:formatCode>m/d/yyyy</c:formatCode>
                <c:ptCount val="31"/>
                <c:pt idx="0">
                  <c:v>41941.5</c:v>
                </c:pt>
                <c:pt idx="1">
                  <c:v>41969.5</c:v>
                </c:pt>
                <c:pt idx="2">
                  <c:v>41997.5</c:v>
                </c:pt>
                <c:pt idx="3">
                  <c:v>42025.5</c:v>
                </c:pt>
                <c:pt idx="4">
                  <c:v>42053.5</c:v>
                </c:pt>
                <c:pt idx="5">
                  <c:v>42081.5</c:v>
                </c:pt>
                <c:pt idx="6">
                  <c:v>42109.5</c:v>
                </c:pt>
                <c:pt idx="7">
                  <c:v>42137.5</c:v>
                </c:pt>
                <c:pt idx="8">
                  <c:v>42165.5</c:v>
                </c:pt>
                <c:pt idx="9">
                  <c:v>42193.5</c:v>
                </c:pt>
                <c:pt idx="10">
                  <c:v>42221.5</c:v>
                </c:pt>
                <c:pt idx="11">
                  <c:v>42249.5</c:v>
                </c:pt>
                <c:pt idx="12">
                  <c:v>42277.5</c:v>
                </c:pt>
                <c:pt idx="13">
                  <c:v>42305.5</c:v>
                </c:pt>
                <c:pt idx="14">
                  <c:v>42333.5</c:v>
                </c:pt>
                <c:pt idx="15">
                  <c:v>42361.5</c:v>
                </c:pt>
                <c:pt idx="16">
                  <c:v>42389.5</c:v>
                </c:pt>
                <c:pt idx="17">
                  <c:v>42417.5</c:v>
                </c:pt>
                <c:pt idx="18">
                  <c:v>42445.5</c:v>
                </c:pt>
                <c:pt idx="19">
                  <c:v>42473.5</c:v>
                </c:pt>
                <c:pt idx="20">
                  <c:v>42501.5</c:v>
                </c:pt>
                <c:pt idx="21">
                  <c:v>42529.5</c:v>
                </c:pt>
                <c:pt idx="22">
                  <c:v>42557.5</c:v>
                </c:pt>
                <c:pt idx="23">
                  <c:v>42585.5</c:v>
                </c:pt>
                <c:pt idx="24">
                  <c:v>42613.5</c:v>
                </c:pt>
                <c:pt idx="25">
                  <c:v>42641.5</c:v>
                </c:pt>
                <c:pt idx="26">
                  <c:v>42669.5</c:v>
                </c:pt>
                <c:pt idx="27">
                  <c:v>42697.5</c:v>
                </c:pt>
                <c:pt idx="28">
                  <c:v>42725.5</c:v>
                </c:pt>
                <c:pt idx="29">
                  <c:v>42753.5</c:v>
                </c:pt>
                <c:pt idx="30">
                  <c:v>42781.5</c:v>
                </c:pt>
              </c:numCache>
            </c:numRef>
          </c:xVal>
          <c:yVal>
            <c:numRef>
              <c:f>Sheet1!$C$112:$AG$112</c:f>
              <c:numCache>
                <c:formatCode>0</c:formatCode>
                <c:ptCount val="31"/>
                <c:pt idx="0">
                  <c:v>708.5</c:v>
                </c:pt>
                <c:pt idx="1">
                  <c:v>1604.5</c:v>
                </c:pt>
                <c:pt idx="2">
                  <c:v>1519</c:v>
                </c:pt>
                <c:pt idx="3">
                  <c:v>1385.75</c:v>
                </c:pt>
                <c:pt idx="4">
                  <c:v>898.5</c:v>
                </c:pt>
                <c:pt idx="5">
                  <c:v>784</c:v>
                </c:pt>
                <c:pt idx="6">
                  <c:v>455.75</c:v>
                </c:pt>
                <c:pt idx="7">
                  <c:v>312</c:v>
                </c:pt>
                <c:pt idx="8">
                  <c:v>175.25</c:v>
                </c:pt>
                <c:pt idx="9">
                  <c:v>117.25</c:v>
                </c:pt>
                <c:pt idx="10">
                  <c:v>100.25</c:v>
                </c:pt>
                <c:pt idx="11">
                  <c:v>171.25</c:v>
                </c:pt>
                <c:pt idx="12">
                  <c:v>104</c:v>
                </c:pt>
                <c:pt idx="13">
                  <c:v>107</c:v>
                </c:pt>
                <c:pt idx="14">
                  <c:v>95</c:v>
                </c:pt>
                <c:pt idx="15">
                  <c:v>146.25</c:v>
                </c:pt>
                <c:pt idx="16">
                  <c:v>181.5</c:v>
                </c:pt>
                <c:pt idx="17">
                  <c:v>99</c:v>
                </c:pt>
                <c:pt idx="18">
                  <c:v>123.5</c:v>
                </c:pt>
                <c:pt idx="19">
                  <c:v>2206</c:v>
                </c:pt>
                <c:pt idx="20">
                  <c:v>103</c:v>
                </c:pt>
                <c:pt idx="21">
                  <c:v>97.25</c:v>
                </c:pt>
                <c:pt idx="22">
                  <c:v>171.5</c:v>
                </c:pt>
                <c:pt idx="23">
                  <c:v>100.5</c:v>
                </c:pt>
                <c:pt idx="24">
                  <c:v>79.25</c:v>
                </c:pt>
                <c:pt idx="25">
                  <c:v>55</c:v>
                </c:pt>
                <c:pt idx="26">
                  <c:v>0</c:v>
                </c:pt>
              </c:numCache>
            </c:numRef>
          </c:yVal>
          <c:smooth val="0"/>
        </c:ser>
        <c:ser>
          <c:idx val="14"/>
          <c:order val="7"/>
          <c:tx>
            <c:v>IRSA Cone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Sheet1!$C$99:$AG$99</c:f>
              <c:numCache>
                <c:formatCode>m/d/yyyy</c:formatCode>
                <c:ptCount val="31"/>
                <c:pt idx="0">
                  <c:v>41941.5</c:v>
                </c:pt>
                <c:pt idx="1">
                  <c:v>41969.5</c:v>
                </c:pt>
                <c:pt idx="2">
                  <c:v>41997.5</c:v>
                </c:pt>
                <c:pt idx="3">
                  <c:v>42025.5</c:v>
                </c:pt>
                <c:pt idx="4">
                  <c:v>42053.5</c:v>
                </c:pt>
                <c:pt idx="5">
                  <c:v>42081.5</c:v>
                </c:pt>
                <c:pt idx="6">
                  <c:v>42109.5</c:v>
                </c:pt>
                <c:pt idx="7">
                  <c:v>42137.5</c:v>
                </c:pt>
                <c:pt idx="8">
                  <c:v>42165.5</c:v>
                </c:pt>
                <c:pt idx="9">
                  <c:v>42193.5</c:v>
                </c:pt>
                <c:pt idx="10">
                  <c:v>42221.5</c:v>
                </c:pt>
                <c:pt idx="11">
                  <c:v>42249.5</c:v>
                </c:pt>
                <c:pt idx="12">
                  <c:v>42277.5</c:v>
                </c:pt>
                <c:pt idx="13">
                  <c:v>42305.5</c:v>
                </c:pt>
                <c:pt idx="14">
                  <c:v>42333.5</c:v>
                </c:pt>
                <c:pt idx="15">
                  <c:v>42361.5</c:v>
                </c:pt>
                <c:pt idx="16">
                  <c:v>42389.5</c:v>
                </c:pt>
                <c:pt idx="17">
                  <c:v>42417.5</c:v>
                </c:pt>
                <c:pt idx="18">
                  <c:v>42445.5</c:v>
                </c:pt>
                <c:pt idx="19">
                  <c:v>42473.5</c:v>
                </c:pt>
                <c:pt idx="20">
                  <c:v>42501.5</c:v>
                </c:pt>
                <c:pt idx="21">
                  <c:v>42529.5</c:v>
                </c:pt>
                <c:pt idx="22">
                  <c:v>42557.5</c:v>
                </c:pt>
                <c:pt idx="23">
                  <c:v>42585.5</c:v>
                </c:pt>
                <c:pt idx="24">
                  <c:v>42613.5</c:v>
                </c:pt>
                <c:pt idx="25">
                  <c:v>42641.5</c:v>
                </c:pt>
                <c:pt idx="26">
                  <c:v>42669.5</c:v>
                </c:pt>
                <c:pt idx="27">
                  <c:v>42697.5</c:v>
                </c:pt>
                <c:pt idx="28">
                  <c:v>42725.5</c:v>
                </c:pt>
                <c:pt idx="29">
                  <c:v>42753.5</c:v>
                </c:pt>
                <c:pt idx="30">
                  <c:v>42781.5</c:v>
                </c:pt>
              </c:numCache>
            </c:numRef>
          </c:xVal>
          <c:yVal>
            <c:numRef>
              <c:f>Sheet1!$C$115:$AG$115</c:f>
              <c:numCache>
                <c:formatCode>0</c:formatCode>
                <c:ptCount val="31"/>
                <c:pt idx="0">
                  <c:v>69.75</c:v>
                </c:pt>
                <c:pt idx="1">
                  <c:v>162.5</c:v>
                </c:pt>
                <c:pt idx="2">
                  <c:v>62.75</c:v>
                </c:pt>
                <c:pt idx="3">
                  <c:v>351</c:v>
                </c:pt>
                <c:pt idx="4">
                  <c:v>417.5</c:v>
                </c:pt>
                <c:pt idx="5">
                  <c:v>3914.25</c:v>
                </c:pt>
                <c:pt idx="6">
                  <c:v>6744.75</c:v>
                </c:pt>
                <c:pt idx="7">
                  <c:v>8379</c:v>
                </c:pt>
                <c:pt idx="8">
                  <c:v>11061.75</c:v>
                </c:pt>
                <c:pt idx="9">
                  <c:v>7964.5</c:v>
                </c:pt>
                <c:pt idx="10">
                  <c:v>21280.25</c:v>
                </c:pt>
                <c:pt idx="11">
                  <c:v>13977.25</c:v>
                </c:pt>
                <c:pt idx="12">
                  <c:v>22579</c:v>
                </c:pt>
                <c:pt idx="13">
                  <c:v>19058.25</c:v>
                </c:pt>
                <c:pt idx="14">
                  <c:v>24815.75</c:v>
                </c:pt>
                <c:pt idx="15">
                  <c:v>11271.25</c:v>
                </c:pt>
                <c:pt idx="16">
                  <c:v>32218.25</c:v>
                </c:pt>
                <c:pt idx="17">
                  <c:v>60173.75</c:v>
                </c:pt>
                <c:pt idx="18">
                  <c:v>128610</c:v>
                </c:pt>
                <c:pt idx="19">
                  <c:v>52502.5</c:v>
                </c:pt>
                <c:pt idx="20">
                  <c:v>112435</c:v>
                </c:pt>
                <c:pt idx="21">
                  <c:v>32875.5</c:v>
                </c:pt>
                <c:pt idx="22">
                  <c:v>1679.75</c:v>
                </c:pt>
                <c:pt idx="23">
                  <c:v>12477</c:v>
                </c:pt>
                <c:pt idx="24">
                  <c:v>8586</c:v>
                </c:pt>
                <c:pt idx="25">
                  <c:v>7348.25</c:v>
                </c:pt>
                <c:pt idx="26">
                  <c:v>3735.5</c:v>
                </c:pt>
                <c:pt idx="27">
                  <c:v>9885.5</c:v>
                </c:pt>
                <c:pt idx="28">
                  <c:v>2112.75</c:v>
                </c:pt>
                <c:pt idx="29">
                  <c:v>3314.75</c:v>
                </c:pt>
                <c:pt idx="30">
                  <c:v>3128</c:v>
                </c:pt>
              </c:numCache>
            </c:numRef>
          </c:yVal>
          <c:smooth val="0"/>
        </c:ser>
        <c:ser>
          <c:idx val="15"/>
          <c:order val="8"/>
          <c:tx>
            <c:v>IRSA Images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Sheet1!$C$99:$AG$99</c:f>
              <c:numCache>
                <c:formatCode>m/d/yyyy</c:formatCode>
                <c:ptCount val="31"/>
                <c:pt idx="0">
                  <c:v>41941.5</c:v>
                </c:pt>
                <c:pt idx="1">
                  <c:v>41969.5</c:v>
                </c:pt>
                <c:pt idx="2">
                  <c:v>41997.5</c:v>
                </c:pt>
                <c:pt idx="3">
                  <c:v>42025.5</c:v>
                </c:pt>
                <c:pt idx="4">
                  <c:v>42053.5</c:v>
                </c:pt>
                <c:pt idx="5">
                  <c:v>42081.5</c:v>
                </c:pt>
                <c:pt idx="6">
                  <c:v>42109.5</c:v>
                </c:pt>
                <c:pt idx="7">
                  <c:v>42137.5</c:v>
                </c:pt>
                <c:pt idx="8">
                  <c:v>42165.5</c:v>
                </c:pt>
                <c:pt idx="9">
                  <c:v>42193.5</c:v>
                </c:pt>
                <c:pt idx="10">
                  <c:v>42221.5</c:v>
                </c:pt>
                <c:pt idx="11">
                  <c:v>42249.5</c:v>
                </c:pt>
                <c:pt idx="12">
                  <c:v>42277.5</c:v>
                </c:pt>
                <c:pt idx="13">
                  <c:v>42305.5</c:v>
                </c:pt>
                <c:pt idx="14">
                  <c:v>42333.5</c:v>
                </c:pt>
                <c:pt idx="15">
                  <c:v>42361.5</c:v>
                </c:pt>
                <c:pt idx="16">
                  <c:v>42389.5</c:v>
                </c:pt>
                <c:pt idx="17">
                  <c:v>42417.5</c:v>
                </c:pt>
                <c:pt idx="18">
                  <c:v>42445.5</c:v>
                </c:pt>
                <c:pt idx="19">
                  <c:v>42473.5</c:v>
                </c:pt>
                <c:pt idx="20">
                  <c:v>42501.5</c:v>
                </c:pt>
                <c:pt idx="21">
                  <c:v>42529.5</c:v>
                </c:pt>
                <c:pt idx="22">
                  <c:v>42557.5</c:v>
                </c:pt>
                <c:pt idx="23">
                  <c:v>42585.5</c:v>
                </c:pt>
                <c:pt idx="24">
                  <c:v>42613.5</c:v>
                </c:pt>
                <c:pt idx="25">
                  <c:v>42641.5</c:v>
                </c:pt>
                <c:pt idx="26">
                  <c:v>42669.5</c:v>
                </c:pt>
                <c:pt idx="27">
                  <c:v>42697.5</c:v>
                </c:pt>
                <c:pt idx="28">
                  <c:v>42725.5</c:v>
                </c:pt>
                <c:pt idx="29">
                  <c:v>42753.5</c:v>
                </c:pt>
                <c:pt idx="30">
                  <c:v>42781.5</c:v>
                </c:pt>
              </c:numCache>
            </c:numRef>
          </c:xVal>
          <c:yVal>
            <c:numRef>
              <c:f>Sheet1!$C$116:$AG$116</c:f>
              <c:numCache>
                <c:formatCode>0</c:formatCode>
                <c:ptCount val="31"/>
                <c:pt idx="0">
                  <c:v>12090</c:v>
                </c:pt>
                <c:pt idx="1">
                  <c:v>4978</c:v>
                </c:pt>
                <c:pt idx="2">
                  <c:v>2874.75</c:v>
                </c:pt>
                <c:pt idx="3">
                  <c:v>3010</c:v>
                </c:pt>
                <c:pt idx="4">
                  <c:v>3650.5</c:v>
                </c:pt>
                <c:pt idx="5">
                  <c:v>2840.75</c:v>
                </c:pt>
                <c:pt idx="6">
                  <c:v>4190.25</c:v>
                </c:pt>
                <c:pt idx="7">
                  <c:v>3482</c:v>
                </c:pt>
                <c:pt idx="8">
                  <c:v>4826.5</c:v>
                </c:pt>
                <c:pt idx="9">
                  <c:v>3820.5</c:v>
                </c:pt>
                <c:pt idx="10">
                  <c:v>3542.75</c:v>
                </c:pt>
                <c:pt idx="11">
                  <c:v>3889.25</c:v>
                </c:pt>
                <c:pt idx="12">
                  <c:v>6442.25</c:v>
                </c:pt>
                <c:pt idx="13">
                  <c:v>4589.75</c:v>
                </c:pt>
                <c:pt idx="14">
                  <c:v>6367</c:v>
                </c:pt>
                <c:pt idx="15">
                  <c:v>2545.75</c:v>
                </c:pt>
                <c:pt idx="16">
                  <c:v>14568.5</c:v>
                </c:pt>
                <c:pt idx="17">
                  <c:v>20296.25</c:v>
                </c:pt>
                <c:pt idx="18">
                  <c:v>24423.9</c:v>
                </c:pt>
                <c:pt idx="19">
                  <c:v>6866</c:v>
                </c:pt>
                <c:pt idx="20">
                  <c:v>4386</c:v>
                </c:pt>
                <c:pt idx="21">
                  <c:v>4537.5</c:v>
                </c:pt>
                <c:pt idx="22">
                  <c:v>2889.5</c:v>
                </c:pt>
                <c:pt idx="23">
                  <c:v>2891.5</c:v>
                </c:pt>
                <c:pt idx="24">
                  <c:v>6210.25</c:v>
                </c:pt>
                <c:pt idx="25">
                  <c:v>7773.5</c:v>
                </c:pt>
                <c:pt idx="26">
                  <c:v>10847.75</c:v>
                </c:pt>
                <c:pt idx="27">
                  <c:v>6096.75</c:v>
                </c:pt>
                <c:pt idx="28">
                  <c:v>4330.5</c:v>
                </c:pt>
                <c:pt idx="29">
                  <c:v>10284</c:v>
                </c:pt>
                <c:pt idx="30">
                  <c:v>3383.5</c:v>
                </c:pt>
              </c:numCache>
            </c:numRef>
          </c:yVal>
          <c:smooth val="0"/>
        </c:ser>
        <c:ser>
          <c:idx val="16"/>
          <c:order val="9"/>
          <c:tx>
            <c:v>IRSA Table</c:v>
          </c:tx>
          <c:spPr>
            <a:ln w="28575" cap="rnd">
              <a:noFill/>
              <a:round/>
            </a:ln>
            <a:effectLst/>
          </c:spPr>
          <c:marker>
            <c:symbol val="plus"/>
            <c:size val="5"/>
            <c:spPr>
              <a:solidFill>
                <a:schemeClr val="accent2"/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Sheet1!$C$99:$AG$99</c:f>
              <c:numCache>
                <c:formatCode>m/d/yyyy</c:formatCode>
                <c:ptCount val="31"/>
                <c:pt idx="0">
                  <c:v>41941.5</c:v>
                </c:pt>
                <c:pt idx="1">
                  <c:v>41969.5</c:v>
                </c:pt>
                <c:pt idx="2">
                  <c:v>41997.5</c:v>
                </c:pt>
                <c:pt idx="3">
                  <c:v>42025.5</c:v>
                </c:pt>
                <c:pt idx="4">
                  <c:v>42053.5</c:v>
                </c:pt>
                <c:pt idx="5">
                  <c:v>42081.5</c:v>
                </c:pt>
                <c:pt idx="6">
                  <c:v>42109.5</c:v>
                </c:pt>
                <c:pt idx="7">
                  <c:v>42137.5</c:v>
                </c:pt>
                <c:pt idx="8">
                  <c:v>42165.5</c:v>
                </c:pt>
                <c:pt idx="9">
                  <c:v>42193.5</c:v>
                </c:pt>
                <c:pt idx="10">
                  <c:v>42221.5</c:v>
                </c:pt>
                <c:pt idx="11">
                  <c:v>42249.5</c:v>
                </c:pt>
                <c:pt idx="12">
                  <c:v>42277.5</c:v>
                </c:pt>
                <c:pt idx="13">
                  <c:v>42305.5</c:v>
                </c:pt>
                <c:pt idx="14">
                  <c:v>42333.5</c:v>
                </c:pt>
                <c:pt idx="15">
                  <c:v>42361.5</c:v>
                </c:pt>
                <c:pt idx="16">
                  <c:v>42389.5</c:v>
                </c:pt>
                <c:pt idx="17">
                  <c:v>42417.5</c:v>
                </c:pt>
                <c:pt idx="18">
                  <c:v>42445.5</c:v>
                </c:pt>
                <c:pt idx="19">
                  <c:v>42473.5</c:v>
                </c:pt>
                <c:pt idx="20">
                  <c:v>42501.5</c:v>
                </c:pt>
                <c:pt idx="21">
                  <c:v>42529.5</c:v>
                </c:pt>
                <c:pt idx="22">
                  <c:v>42557.5</c:v>
                </c:pt>
                <c:pt idx="23">
                  <c:v>42585.5</c:v>
                </c:pt>
                <c:pt idx="24">
                  <c:v>42613.5</c:v>
                </c:pt>
                <c:pt idx="25">
                  <c:v>42641.5</c:v>
                </c:pt>
                <c:pt idx="26">
                  <c:v>42669.5</c:v>
                </c:pt>
                <c:pt idx="27">
                  <c:v>42697.5</c:v>
                </c:pt>
                <c:pt idx="28">
                  <c:v>42725.5</c:v>
                </c:pt>
                <c:pt idx="29">
                  <c:v>42753.5</c:v>
                </c:pt>
                <c:pt idx="30">
                  <c:v>42781.5</c:v>
                </c:pt>
              </c:numCache>
            </c:numRef>
          </c:xVal>
          <c:yVal>
            <c:numRef>
              <c:f>Sheet1!$C$117:$AG$117</c:f>
              <c:numCache>
                <c:formatCode>General</c:formatCode>
                <c:ptCount val="31"/>
                <c:pt idx="2" formatCode="0">
                  <c:v>2.5714285714285716</c:v>
                </c:pt>
                <c:pt idx="3" formatCode="0">
                  <c:v>1.4285714285714286</c:v>
                </c:pt>
                <c:pt idx="4" formatCode="0">
                  <c:v>2.1071428571428572</c:v>
                </c:pt>
                <c:pt idx="5" formatCode="0">
                  <c:v>2.0357142857142856</c:v>
                </c:pt>
                <c:pt idx="6" formatCode="0">
                  <c:v>7.6785714285714297</c:v>
                </c:pt>
                <c:pt idx="7" formatCode="0">
                  <c:v>0.5</c:v>
                </c:pt>
                <c:pt idx="8" formatCode="0">
                  <c:v>1.6785714285714284</c:v>
                </c:pt>
                <c:pt idx="9" formatCode="0">
                  <c:v>27.535714285714285</c:v>
                </c:pt>
                <c:pt idx="10" formatCode="0">
                  <c:v>12639</c:v>
                </c:pt>
                <c:pt idx="11" formatCode="0">
                  <c:v>16380.678571428572</c:v>
                </c:pt>
                <c:pt idx="12" formatCode="0">
                  <c:v>62853.642857142855</c:v>
                </c:pt>
                <c:pt idx="13" formatCode="0">
                  <c:v>932.5</c:v>
                </c:pt>
                <c:pt idx="14" formatCode="0">
                  <c:v>60345</c:v>
                </c:pt>
                <c:pt idx="15" formatCode="0">
                  <c:v>97343.5</c:v>
                </c:pt>
                <c:pt idx="16" formatCode="0">
                  <c:v>89970.5</c:v>
                </c:pt>
                <c:pt idx="17" formatCode="0">
                  <c:v>123884.25</c:v>
                </c:pt>
                <c:pt idx="18" formatCode="0">
                  <c:v>108718.75</c:v>
                </c:pt>
                <c:pt idx="19" formatCode="0">
                  <c:v>106585.5</c:v>
                </c:pt>
                <c:pt idx="20" formatCode="0">
                  <c:v>74400</c:v>
                </c:pt>
                <c:pt idx="21" formatCode="0">
                  <c:v>130250.75</c:v>
                </c:pt>
                <c:pt idx="22" formatCode="0">
                  <c:v>197652.25</c:v>
                </c:pt>
                <c:pt idx="23" formatCode="0">
                  <c:v>108858.75</c:v>
                </c:pt>
                <c:pt idx="24" formatCode="0">
                  <c:v>66703.5</c:v>
                </c:pt>
                <c:pt idx="25" formatCode="0">
                  <c:v>151.25</c:v>
                </c:pt>
                <c:pt idx="26" formatCode="0">
                  <c:v>4570.25</c:v>
                </c:pt>
                <c:pt idx="27" formatCode="0">
                  <c:v>878</c:v>
                </c:pt>
                <c:pt idx="28" formatCode="0">
                  <c:v>1451.5</c:v>
                </c:pt>
                <c:pt idx="29" formatCode="0">
                  <c:v>31342.25</c:v>
                </c:pt>
                <c:pt idx="30" formatCode="0">
                  <c:v>17071.5</c:v>
                </c:pt>
              </c:numCache>
            </c:numRef>
          </c:yVal>
          <c:smooth val="0"/>
        </c:ser>
        <c:ser>
          <c:idx val="20"/>
          <c:order val="10"/>
          <c:tx>
            <c:v>NED Cone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Sheet1!$C$99:$AG$99</c:f>
              <c:numCache>
                <c:formatCode>m/d/yyyy</c:formatCode>
                <c:ptCount val="31"/>
                <c:pt idx="0">
                  <c:v>41941.5</c:v>
                </c:pt>
                <c:pt idx="1">
                  <c:v>41969.5</c:v>
                </c:pt>
                <c:pt idx="2">
                  <c:v>41997.5</c:v>
                </c:pt>
                <c:pt idx="3">
                  <c:v>42025.5</c:v>
                </c:pt>
                <c:pt idx="4">
                  <c:v>42053.5</c:v>
                </c:pt>
                <c:pt idx="5">
                  <c:v>42081.5</c:v>
                </c:pt>
                <c:pt idx="6">
                  <c:v>42109.5</c:v>
                </c:pt>
                <c:pt idx="7">
                  <c:v>42137.5</c:v>
                </c:pt>
                <c:pt idx="8">
                  <c:v>42165.5</c:v>
                </c:pt>
                <c:pt idx="9">
                  <c:v>42193.5</c:v>
                </c:pt>
                <c:pt idx="10">
                  <c:v>42221.5</c:v>
                </c:pt>
                <c:pt idx="11">
                  <c:v>42249.5</c:v>
                </c:pt>
                <c:pt idx="12">
                  <c:v>42277.5</c:v>
                </c:pt>
                <c:pt idx="13">
                  <c:v>42305.5</c:v>
                </c:pt>
                <c:pt idx="14">
                  <c:v>42333.5</c:v>
                </c:pt>
                <c:pt idx="15">
                  <c:v>42361.5</c:v>
                </c:pt>
                <c:pt idx="16">
                  <c:v>42389.5</c:v>
                </c:pt>
                <c:pt idx="17">
                  <c:v>42417.5</c:v>
                </c:pt>
                <c:pt idx="18">
                  <c:v>42445.5</c:v>
                </c:pt>
                <c:pt idx="19">
                  <c:v>42473.5</c:v>
                </c:pt>
                <c:pt idx="20">
                  <c:v>42501.5</c:v>
                </c:pt>
                <c:pt idx="21">
                  <c:v>42529.5</c:v>
                </c:pt>
                <c:pt idx="22">
                  <c:v>42557.5</c:v>
                </c:pt>
                <c:pt idx="23">
                  <c:v>42585.5</c:v>
                </c:pt>
                <c:pt idx="24">
                  <c:v>42613.5</c:v>
                </c:pt>
                <c:pt idx="25">
                  <c:v>42641.5</c:v>
                </c:pt>
                <c:pt idx="26">
                  <c:v>42669.5</c:v>
                </c:pt>
                <c:pt idx="27">
                  <c:v>42697.5</c:v>
                </c:pt>
                <c:pt idx="28">
                  <c:v>42725.5</c:v>
                </c:pt>
                <c:pt idx="29">
                  <c:v>42753.5</c:v>
                </c:pt>
                <c:pt idx="30">
                  <c:v>42781.5</c:v>
                </c:pt>
              </c:numCache>
            </c:numRef>
          </c:xVal>
          <c:yVal>
            <c:numRef>
              <c:f>Sheet1!$C$121:$AG$121</c:f>
              <c:numCache>
                <c:formatCode>0</c:formatCode>
                <c:ptCount val="31"/>
                <c:pt idx="1">
                  <c:v>104</c:v>
                </c:pt>
                <c:pt idx="2">
                  <c:v>78.142857142857139</c:v>
                </c:pt>
                <c:pt idx="3">
                  <c:v>75.5</c:v>
                </c:pt>
                <c:pt idx="4">
                  <c:v>114.75</c:v>
                </c:pt>
                <c:pt idx="5">
                  <c:v>187.82142857142858</c:v>
                </c:pt>
                <c:pt idx="6">
                  <c:v>207.99999999999997</c:v>
                </c:pt>
                <c:pt idx="7">
                  <c:v>68.5</c:v>
                </c:pt>
                <c:pt idx="8">
                  <c:v>99.5</c:v>
                </c:pt>
                <c:pt idx="9">
                  <c:v>66.357142857142861</c:v>
                </c:pt>
                <c:pt idx="10">
                  <c:v>126.46428571428571</c:v>
                </c:pt>
                <c:pt idx="11">
                  <c:v>59.535714285714285</c:v>
                </c:pt>
                <c:pt idx="12">
                  <c:v>100.85714285714286</c:v>
                </c:pt>
                <c:pt idx="13">
                  <c:v>83.285714285714292</c:v>
                </c:pt>
                <c:pt idx="14">
                  <c:v>97.535714285714278</c:v>
                </c:pt>
                <c:pt idx="15">
                  <c:v>66.285714285714292</c:v>
                </c:pt>
                <c:pt idx="16">
                  <c:v>108.53571428571429</c:v>
                </c:pt>
                <c:pt idx="17">
                  <c:v>112.75</c:v>
                </c:pt>
                <c:pt idx="18">
                  <c:v>4542.8571428571422</c:v>
                </c:pt>
                <c:pt idx="19">
                  <c:v>1217.8571428571429</c:v>
                </c:pt>
                <c:pt idx="20">
                  <c:v>4102.6785714285716</c:v>
                </c:pt>
                <c:pt idx="21">
                  <c:v>103.10714285714286</c:v>
                </c:pt>
                <c:pt idx="22">
                  <c:v>1018.7857142857142</c:v>
                </c:pt>
                <c:pt idx="23">
                  <c:v>870.64285714285722</c:v>
                </c:pt>
                <c:pt idx="24">
                  <c:v>881.71428571428567</c:v>
                </c:pt>
                <c:pt idx="25">
                  <c:v>102.14285714285715</c:v>
                </c:pt>
                <c:pt idx="26">
                  <c:v>4121.5</c:v>
                </c:pt>
                <c:pt idx="27">
                  <c:v>108.46428571428572</c:v>
                </c:pt>
                <c:pt idx="28">
                  <c:v>24492.392857142859</c:v>
                </c:pt>
                <c:pt idx="29">
                  <c:v>193761.21428571429</c:v>
                </c:pt>
                <c:pt idx="30">
                  <c:v>221780.67857142861</c:v>
                </c:pt>
              </c:numCache>
            </c:numRef>
          </c:yVal>
          <c:smooth val="0"/>
        </c:ser>
        <c:ser>
          <c:idx val="21"/>
          <c:order val="11"/>
          <c:tx>
            <c:v>NED Spectra</c:v>
          </c:tx>
          <c:spPr>
            <a:ln w="28575" cap="rnd">
              <a:noFill/>
              <a:round/>
            </a:ln>
            <a:effectLst/>
          </c:spPr>
          <c:marker>
            <c:symbol val="x"/>
            <c:size val="5"/>
            <c:spPr>
              <a:solidFill>
                <a:schemeClr val="accent6"/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Sheet1!$C$99:$AG$99</c:f>
              <c:numCache>
                <c:formatCode>m/d/yyyy</c:formatCode>
                <c:ptCount val="31"/>
                <c:pt idx="0">
                  <c:v>41941.5</c:v>
                </c:pt>
                <c:pt idx="1">
                  <c:v>41969.5</c:v>
                </c:pt>
                <c:pt idx="2">
                  <c:v>41997.5</c:v>
                </c:pt>
                <c:pt idx="3">
                  <c:v>42025.5</c:v>
                </c:pt>
                <c:pt idx="4">
                  <c:v>42053.5</c:v>
                </c:pt>
                <c:pt idx="5">
                  <c:v>42081.5</c:v>
                </c:pt>
                <c:pt idx="6">
                  <c:v>42109.5</c:v>
                </c:pt>
                <c:pt idx="7">
                  <c:v>42137.5</c:v>
                </c:pt>
                <c:pt idx="8">
                  <c:v>42165.5</c:v>
                </c:pt>
                <c:pt idx="9">
                  <c:v>42193.5</c:v>
                </c:pt>
                <c:pt idx="10">
                  <c:v>42221.5</c:v>
                </c:pt>
                <c:pt idx="11">
                  <c:v>42249.5</c:v>
                </c:pt>
                <c:pt idx="12">
                  <c:v>42277.5</c:v>
                </c:pt>
                <c:pt idx="13">
                  <c:v>42305.5</c:v>
                </c:pt>
                <c:pt idx="14">
                  <c:v>42333.5</c:v>
                </c:pt>
                <c:pt idx="15">
                  <c:v>42361.5</c:v>
                </c:pt>
                <c:pt idx="16">
                  <c:v>42389.5</c:v>
                </c:pt>
                <c:pt idx="17">
                  <c:v>42417.5</c:v>
                </c:pt>
                <c:pt idx="18">
                  <c:v>42445.5</c:v>
                </c:pt>
                <c:pt idx="19">
                  <c:v>42473.5</c:v>
                </c:pt>
                <c:pt idx="20">
                  <c:v>42501.5</c:v>
                </c:pt>
                <c:pt idx="21">
                  <c:v>42529.5</c:v>
                </c:pt>
                <c:pt idx="22">
                  <c:v>42557.5</c:v>
                </c:pt>
                <c:pt idx="23">
                  <c:v>42585.5</c:v>
                </c:pt>
                <c:pt idx="24">
                  <c:v>42613.5</c:v>
                </c:pt>
                <c:pt idx="25">
                  <c:v>42641.5</c:v>
                </c:pt>
                <c:pt idx="26">
                  <c:v>42669.5</c:v>
                </c:pt>
                <c:pt idx="27">
                  <c:v>42697.5</c:v>
                </c:pt>
                <c:pt idx="28">
                  <c:v>42725.5</c:v>
                </c:pt>
                <c:pt idx="29">
                  <c:v>42753.5</c:v>
                </c:pt>
                <c:pt idx="30">
                  <c:v>42781.5</c:v>
                </c:pt>
              </c:numCache>
            </c:numRef>
          </c:xVal>
          <c:yVal>
            <c:numRef>
              <c:f>Sheet1!$C$122:$AG$122</c:f>
              <c:numCache>
                <c:formatCode>0</c:formatCode>
                <c:ptCount val="31"/>
                <c:pt idx="1">
                  <c:v>103</c:v>
                </c:pt>
                <c:pt idx="2">
                  <c:v>95.5</c:v>
                </c:pt>
                <c:pt idx="3">
                  <c:v>192.82142857142858</c:v>
                </c:pt>
                <c:pt idx="4">
                  <c:v>214.96428571428572</c:v>
                </c:pt>
                <c:pt idx="5">
                  <c:v>208.64285714285711</c:v>
                </c:pt>
                <c:pt idx="6">
                  <c:v>219.28571428571428</c:v>
                </c:pt>
                <c:pt idx="7">
                  <c:v>208.75</c:v>
                </c:pt>
                <c:pt idx="8">
                  <c:v>223</c:v>
                </c:pt>
                <c:pt idx="9">
                  <c:v>212.35714285714286</c:v>
                </c:pt>
                <c:pt idx="10">
                  <c:v>137.5</c:v>
                </c:pt>
                <c:pt idx="11">
                  <c:v>213.64285714285714</c:v>
                </c:pt>
                <c:pt idx="12">
                  <c:v>238.89285714285714</c:v>
                </c:pt>
                <c:pt idx="13">
                  <c:v>202.21428571428569</c:v>
                </c:pt>
                <c:pt idx="14">
                  <c:v>237.46428571428569</c:v>
                </c:pt>
                <c:pt idx="15">
                  <c:v>200.03571428571428</c:v>
                </c:pt>
                <c:pt idx="16">
                  <c:v>187.89285714285717</c:v>
                </c:pt>
                <c:pt idx="17">
                  <c:v>198.25</c:v>
                </c:pt>
                <c:pt idx="18">
                  <c:v>242.71428571428572</c:v>
                </c:pt>
                <c:pt idx="19">
                  <c:v>8616.7857142857138</c:v>
                </c:pt>
                <c:pt idx="20">
                  <c:v>193.89285714285714</c:v>
                </c:pt>
                <c:pt idx="21">
                  <c:v>211.28571428571428</c:v>
                </c:pt>
                <c:pt idx="22">
                  <c:v>211.03571428571425</c:v>
                </c:pt>
                <c:pt idx="23">
                  <c:v>192.46428571428572</c:v>
                </c:pt>
                <c:pt idx="24">
                  <c:v>149.28571428571428</c:v>
                </c:pt>
                <c:pt idx="25">
                  <c:v>140.71428571428572</c:v>
                </c:pt>
                <c:pt idx="26">
                  <c:v>150.75</c:v>
                </c:pt>
                <c:pt idx="27">
                  <c:v>164.5</c:v>
                </c:pt>
                <c:pt idx="28">
                  <c:v>129.46428571428572</c:v>
                </c:pt>
                <c:pt idx="29">
                  <c:v>24.857142857142858</c:v>
                </c:pt>
                <c:pt idx="30">
                  <c:v>24.714285714285715</c:v>
                </c:pt>
              </c:numCache>
            </c:numRef>
          </c:yVal>
          <c:smooth val="0"/>
        </c:ser>
        <c:ser>
          <c:idx val="23"/>
          <c:order val="12"/>
          <c:tx>
            <c:v>Total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Sheet1!$C$99:$AG$99</c:f>
              <c:numCache>
                <c:formatCode>m/d/yyyy</c:formatCode>
                <c:ptCount val="31"/>
                <c:pt idx="0">
                  <c:v>41941.5</c:v>
                </c:pt>
                <c:pt idx="1">
                  <c:v>41969.5</c:v>
                </c:pt>
                <c:pt idx="2">
                  <c:v>41997.5</c:v>
                </c:pt>
                <c:pt idx="3">
                  <c:v>42025.5</c:v>
                </c:pt>
                <c:pt idx="4">
                  <c:v>42053.5</c:v>
                </c:pt>
                <c:pt idx="5">
                  <c:v>42081.5</c:v>
                </c:pt>
                <c:pt idx="6">
                  <c:v>42109.5</c:v>
                </c:pt>
                <c:pt idx="7">
                  <c:v>42137.5</c:v>
                </c:pt>
                <c:pt idx="8">
                  <c:v>42165.5</c:v>
                </c:pt>
                <c:pt idx="9">
                  <c:v>42193.5</c:v>
                </c:pt>
                <c:pt idx="10">
                  <c:v>42221.5</c:v>
                </c:pt>
                <c:pt idx="11">
                  <c:v>42249.5</c:v>
                </c:pt>
                <c:pt idx="12">
                  <c:v>42277.5</c:v>
                </c:pt>
                <c:pt idx="13">
                  <c:v>42305.5</c:v>
                </c:pt>
                <c:pt idx="14">
                  <c:v>42333.5</c:v>
                </c:pt>
                <c:pt idx="15">
                  <c:v>42361.5</c:v>
                </c:pt>
                <c:pt idx="16">
                  <c:v>42389.5</c:v>
                </c:pt>
                <c:pt idx="17">
                  <c:v>42417.5</c:v>
                </c:pt>
                <c:pt idx="18">
                  <c:v>42445.5</c:v>
                </c:pt>
                <c:pt idx="19">
                  <c:v>42473.5</c:v>
                </c:pt>
                <c:pt idx="20">
                  <c:v>42501.5</c:v>
                </c:pt>
                <c:pt idx="21">
                  <c:v>42529.5</c:v>
                </c:pt>
                <c:pt idx="22">
                  <c:v>42557.5</c:v>
                </c:pt>
                <c:pt idx="23">
                  <c:v>42585.5</c:v>
                </c:pt>
                <c:pt idx="24">
                  <c:v>42613.5</c:v>
                </c:pt>
                <c:pt idx="25">
                  <c:v>42641.5</c:v>
                </c:pt>
                <c:pt idx="26">
                  <c:v>42669.5</c:v>
                </c:pt>
                <c:pt idx="27">
                  <c:v>42697.5</c:v>
                </c:pt>
                <c:pt idx="28">
                  <c:v>42725.5</c:v>
                </c:pt>
                <c:pt idx="29">
                  <c:v>42753.5</c:v>
                </c:pt>
                <c:pt idx="30">
                  <c:v>42781.5</c:v>
                </c:pt>
              </c:numCache>
            </c:numRef>
          </c:xVal>
          <c:yVal>
            <c:numRef>
              <c:f>Sheet1!$C$125:$AG$125</c:f>
              <c:numCache>
                <c:formatCode>0</c:formatCode>
                <c:ptCount val="31"/>
                <c:pt idx="0">
                  <c:v>34411.5</c:v>
                </c:pt>
                <c:pt idx="1">
                  <c:v>39294.5</c:v>
                </c:pt>
                <c:pt idx="2">
                  <c:v>23928.782142857141</c:v>
                </c:pt>
                <c:pt idx="3">
                  <c:v>35554.789285714287</c:v>
                </c:pt>
                <c:pt idx="4">
                  <c:v>30053.999999999996</c:v>
                </c:pt>
                <c:pt idx="5">
                  <c:v>28712.560714285712</c:v>
                </c:pt>
                <c:pt idx="6">
                  <c:v>26033.935714285712</c:v>
                </c:pt>
                <c:pt idx="7">
                  <c:v>30041.525000000001</c:v>
                </c:pt>
                <c:pt idx="8">
                  <c:v>50135.896428571432</c:v>
                </c:pt>
                <c:pt idx="9">
                  <c:v>27563.110714285714</c:v>
                </c:pt>
                <c:pt idx="10">
                  <c:v>64106.142857142855</c:v>
                </c:pt>
                <c:pt idx="11">
                  <c:v>66865.742857142861</c:v>
                </c:pt>
                <c:pt idx="12">
                  <c:v>87089.07142857142</c:v>
                </c:pt>
                <c:pt idx="13">
                  <c:v>39742</c:v>
                </c:pt>
                <c:pt idx="14">
                  <c:v>115104.32500000001</c:v>
                </c:pt>
                <c:pt idx="15">
                  <c:v>132287.67642857146</c:v>
                </c:pt>
                <c:pt idx="16">
                  <c:v>173828.67857142858</c:v>
                </c:pt>
                <c:pt idx="17">
                  <c:v>217426.42499999999</c:v>
                </c:pt>
                <c:pt idx="18">
                  <c:v>284691.62142857141</c:v>
                </c:pt>
                <c:pt idx="19">
                  <c:v>193309.64285714284</c:v>
                </c:pt>
                <c:pt idx="20">
                  <c:v>209432.73892857143</c:v>
                </c:pt>
                <c:pt idx="21">
                  <c:v>184427.89285714287</c:v>
                </c:pt>
                <c:pt idx="22">
                  <c:v>217365.82142857142</c:v>
                </c:pt>
                <c:pt idx="23">
                  <c:v>138377.00714285715</c:v>
                </c:pt>
                <c:pt idx="24">
                  <c:v>99899</c:v>
                </c:pt>
                <c:pt idx="25">
                  <c:v>32946.357142857145</c:v>
                </c:pt>
                <c:pt idx="26">
                  <c:v>37235.25</c:v>
                </c:pt>
                <c:pt idx="27">
                  <c:v>33569.539285714287</c:v>
                </c:pt>
                <c:pt idx="28">
                  <c:v>46165.857142857145</c:v>
                </c:pt>
                <c:pt idx="29">
                  <c:v>254530.46428571429</c:v>
                </c:pt>
                <c:pt idx="30">
                  <c:v>268339.61428571428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0996288"/>
        <c:axId val="950994656"/>
      </c:scatterChart>
      <c:valAx>
        <c:axId val="950996288"/>
        <c:scaling>
          <c:orientation val="minMax"/>
          <c:max val="42800"/>
          <c:min val="419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0994656"/>
        <c:crosses val="autoZero"/>
        <c:crossBetween val="midCat"/>
      </c:valAx>
      <c:valAx>
        <c:axId val="950994656"/>
        <c:scaling>
          <c:logBase val="10"/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sz="1600" b="1"/>
              </a:p>
              <a:p>
                <a:pPr>
                  <a:defRPr sz="1600" b="1"/>
                </a:pPr>
                <a:r>
                  <a:rPr lang="en-US" sz="1600" b="1"/>
                  <a:t>Queries</a:t>
                </a:r>
                <a:r>
                  <a:rPr lang="en-US" sz="1600" b="1" baseline="0"/>
                  <a:t> per day (4 week averages)</a:t>
                </a:r>
                <a:endParaRPr lang="en-US" sz="1600" b="1"/>
              </a:p>
            </c:rich>
          </c:tx>
          <c:layout>
            <c:manualLayout>
              <c:xMode val="edge"/>
              <c:yMode val="edge"/>
              <c:x val="2.5970650506514596E-3"/>
              <c:y val="0.216068971799765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0996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12"/>
        <c:txPr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980066503269695E-2"/>
          <c:y val="0.85887611719849188"/>
          <c:w val="0.59827636251350935"/>
          <c:h val="0.141025442311317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369570</xdr:colOff>
      <xdr:row>52</xdr:row>
      <xdr:rowOff>154304</xdr:rowOff>
    </xdr:from>
    <xdr:to>
      <xdr:col>18</xdr:col>
      <xdr:colOff>47625</xdr:colOff>
      <xdr:row>94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533400</xdr:colOff>
      <xdr:row>130</xdr:row>
      <xdr:rowOff>95250</xdr:rowOff>
    </xdr:from>
    <xdr:to>
      <xdr:col>16</xdr:col>
      <xdr:colOff>236221</xdr:colOff>
      <xdr:row>164</xdr:row>
      <xdr:rowOff>1905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143"/>
  <sheetViews>
    <sheetView tabSelected="1" workbookViewId="0">
      <pane xSplit="1" ySplit="3" topLeftCell="CK4" activePane="bottomRight" state="frozen"/>
      <selection pane="topRight" activeCell="B1" sqref="B1"/>
      <selection pane="bottomLeft" activeCell="A4" sqref="A4"/>
      <selection pane="bottomRight" activeCell="CX2" sqref="CX2"/>
    </sheetView>
  </sheetViews>
  <sheetFormatPr defaultRowHeight="14.4" x14ac:dyDescent="0.3"/>
  <cols>
    <col min="1" max="1" width="8.5546875"/>
    <col min="2" max="4" width="10.5546875"/>
    <col min="5" max="5" width="10.6640625"/>
    <col min="6" max="7" width="10.5546875"/>
    <col min="8" max="8" width="10.6640625" bestFit="1" customWidth="1"/>
    <col min="9" max="9" width="9.5546875"/>
    <col min="10" max="10" width="11"/>
    <col min="11" max="12" width="10.6640625" bestFit="1" customWidth="1"/>
    <col min="13" max="13" width="12" bestFit="1" customWidth="1"/>
    <col min="14" max="15" width="10.6640625" bestFit="1" customWidth="1"/>
    <col min="16" max="18" width="12" bestFit="1" customWidth="1"/>
    <col min="19" max="20" width="9.6640625" bestFit="1" customWidth="1"/>
    <col min="21" max="21" width="12" bestFit="1" customWidth="1"/>
    <col min="22" max="22" width="9.44140625" customWidth="1"/>
    <col min="23" max="25" width="9.6640625" bestFit="1" customWidth="1"/>
    <col min="26" max="26" width="12" bestFit="1" customWidth="1"/>
    <col min="27" max="28" width="9.6640625" bestFit="1" customWidth="1"/>
    <col min="29" max="31" width="10.6640625" bestFit="1" customWidth="1"/>
    <col min="32" max="32" width="9.6640625" bestFit="1" customWidth="1"/>
    <col min="33" max="34" width="9.44140625" bestFit="1" customWidth="1"/>
    <col min="35" max="35" width="8.5546875"/>
    <col min="36" max="38" width="9.44140625" bestFit="1" customWidth="1"/>
    <col min="39" max="39" width="8.5546875"/>
    <col min="40" max="42" width="9.44140625" bestFit="1" customWidth="1"/>
    <col min="43" max="43" width="8.5546875"/>
    <col min="44" max="44" width="8.44140625" bestFit="1" customWidth="1"/>
    <col min="45" max="45" width="9.44140625" bestFit="1" customWidth="1"/>
    <col min="46" max="47" width="9.6640625" bestFit="1" customWidth="1"/>
    <col min="48" max="48" width="8.5546875"/>
    <col min="49" max="52" width="9.6640625" bestFit="1" customWidth="1"/>
    <col min="53" max="55" width="10.6640625" bestFit="1" customWidth="1"/>
    <col min="56" max="57" width="9.6640625" bestFit="1" customWidth="1"/>
    <col min="58" max="60" width="10.6640625" bestFit="1" customWidth="1"/>
    <col min="61" max="61" width="9.6640625" bestFit="1" customWidth="1"/>
    <col min="62" max="64" width="10.6640625" bestFit="1" customWidth="1"/>
    <col min="65" max="65" width="8.5546875"/>
    <col min="66" max="69" width="9.6640625" bestFit="1" customWidth="1"/>
    <col min="70" max="70" width="8.5546875"/>
    <col min="71" max="73" width="9.6640625" bestFit="1" customWidth="1"/>
    <col min="74" max="74" width="8.5546875"/>
    <col min="75" max="77" width="9.6640625" bestFit="1" customWidth="1"/>
    <col min="78" max="78" width="8.5546875"/>
    <col min="79" max="82" width="9.6640625" bestFit="1" customWidth="1"/>
    <col min="83" max="83" width="8.5546875"/>
    <col min="84" max="86" width="9.6640625" bestFit="1" customWidth="1"/>
    <col min="87" max="87" width="8.6640625" bestFit="1" customWidth="1"/>
    <col min="88" max="90" width="9.6640625" bestFit="1" customWidth="1"/>
    <col min="91" max="91" width="9.88671875" bestFit="1" customWidth="1"/>
    <col min="92" max="95" width="9.6640625" bestFit="1" customWidth="1"/>
    <col min="96" max="96" width="8.5546875"/>
    <col min="97" max="99" width="9.6640625" bestFit="1" customWidth="1"/>
    <col min="100" max="100" width="8.5546875"/>
    <col min="101" max="105" width="9.6640625" bestFit="1" customWidth="1"/>
    <col min="106" max="108" width="10.6640625" bestFit="1" customWidth="1"/>
    <col min="109" max="109" width="9.6640625" bestFit="1" customWidth="1"/>
    <col min="110" max="112" width="10.6640625" bestFit="1" customWidth="1"/>
    <col min="113" max="113" width="9.6640625" bestFit="1" customWidth="1"/>
    <col min="114" max="116" width="10.6640625" bestFit="1" customWidth="1"/>
    <col min="117" max="118" width="8.5546875"/>
    <col min="119" max="121" width="9.6640625" bestFit="1" customWidth="1"/>
    <col min="122" max="122" width="8.5546875"/>
    <col min="123" max="129" width="9.6640625" bestFit="1" customWidth="1"/>
    <col min="130" max="131" width="8.5546875"/>
    <col min="132" max="134" width="9.6640625" bestFit="1" customWidth="1"/>
    <col min="135" max="135" width="8.5546875"/>
    <col min="136" max="138" width="9.6640625" bestFit="1" customWidth="1"/>
    <col min="139" max="139" width="8.6640625" bestFit="1" customWidth="1"/>
    <col min="140" max="141" width="9.6640625" bestFit="1" customWidth="1"/>
    <col min="142" max="142" width="9.88671875" bestFit="1" customWidth="1"/>
    <col min="143" max="143" width="9.5546875" bestFit="1" customWidth="1"/>
    <col min="144" max="144" width="8.5546875"/>
    <col min="145" max="147" width="9.6640625" bestFit="1" customWidth="1"/>
    <col min="148" max="148" width="8.5546875"/>
    <col min="149" max="151" width="9.6640625" bestFit="1" customWidth="1"/>
    <col min="152" max="152" width="8.5546875"/>
    <col min="153" max="153" width="9.6640625" bestFit="1" customWidth="1"/>
    <col min="154" max="157" width="9.77734375" bestFit="1" customWidth="1"/>
    <col min="158" max="159" width="10.77734375" bestFit="1" customWidth="1"/>
    <col min="160" max="1025" width="8.5546875"/>
  </cols>
  <sheetData>
    <row r="1" spans="1:159" ht="18" x14ac:dyDescent="0.35">
      <c r="A1" s="1" t="s">
        <v>0</v>
      </c>
      <c r="B1" s="1"/>
      <c r="C1" s="1"/>
      <c r="EC1" s="10">
        <v>131</v>
      </c>
      <c r="ED1" s="10">
        <v>132</v>
      </c>
      <c r="EE1" s="10">
        <v>133</v>
      </c>
      <c r="EF1" s="10">
        <v>134</v>
      </c>
      <c r="EG1" s="10">
        <v>135</v>
      </c>
      <c r="EH1" s="10">
        <v>136</v>
      </c>
      <c r="EI1" s="10">
        <v>137</v>
      </c>
      <c r="EJ1" s="10">
        <v>138</v>
      </c>
      <c r="EK1" s="10">
        <v>139</v>
      </c>
      <c r="EL1" s="10">
        <v>140</v>
      </c>
      <c r="EM1" s="10">
        <v>141</v>
      </c>
      <c r="EN1" s="10">
        <v>142</v>
      </c>
      <c r="EO1" s="10">
        <v>143</v>
      </c>
    </row>
    <row r="2" spans="1:159" ht="18" x14ac:dyDescent="0.35">
      <c r="A2" s="1"/>
      <c r="B2" s="1" t="s">
        <v>1</v>
      </c>
      <c r="C2" s="1"/>
      <c r="CX2" s="4"/>
    </row>
    <row r="3" spans="1:159" x14ac:dyDescent="0.3">
      <c r="A3" t="s">
        <v>2</v>
      </c>
      <c r="B3" s="2">
        <v>41931</v>
      </c>
      <c r="C3" s="2">
        <v>41938</v>
      </c>
      <c r="D3" s="2">
        <v>41945</v>
      </c>
      <c r="E3" s="2">
        <v>41952</v>
      </c>
      <c r="F3" s="2">
        <v>41959</v>
      </c>
      <c r="G3" s="2">
        <v>41966</v>
      </c>
      <c r="H3" s="2">
        <v>41973</v>
      </c>
      <c r="I3" s="2">
        <v>41980</v>
      </c>
      <c r="J3" s="2">
        <v>41987</v>
      </c>
      <c r="K3" s="2">
        <v>41994</v>
      </c>
      <c r="L3" s="2">
        <v>42001</v>
      </c>
      <c r="M3" s="2">
        <v>42008</v>
      </c>
      <c r="N3" s="2">
        <v>42015</v>
      </c>
      <c r="O3" s="2">
        <v>42022</v>
      </c>
      <c r="P3" s="2">
        <v>42029</v>
      </c>
      <c r="Q3" s="2">
        <v>42036</v>
      </c>
      <c r="R3" s="2">
        <v>42043</v>
      </c>
      <c r="S3" s="2">
        <v>42050</v>
      </c>
      <c r="T3" s="2">
        <v>42057</v>
      </c>
      <c r="U3" s="2">
        <v>42064</v>
      </c>
      <c r="V3" s="2">
        <v>42071</v>
      </c>
      <c r="W3" s="2">
        <v>42078</v>
      </c>
      <c r="X3" s="2">
        <v>42085</v>
      </c>
      <c r="Y3" s="2">
        <v>42092</v>
      </c>
      <c r="Z3" s="2">
        <v>42099</v>
      </c>
      <c r="AA3" s="2">
        <v>42106</v>
      </c>
      <c r="AB3" s="2">
        <v>42113</v>
      </c>
      <c r="AC3" s="2">
        <v>42120</v>
      </c>
      <c r="AD3" s="2">
        <v>42127</v>
      </c>
      <c r="AE3" s="2">
        <v>42134</v>
      </c>
      <c r="AF3" s="2">
        <v>42141</v>
      </c>
      <c r="AG3" s="2">
        <v>42148</v>
      </c>
      <c r="AH3" s="2">
        <v>42155</v>
      </c>
      <c r="AI3" s="2">
        <v>42162</v>
      </c>
      <c r="AJ3" s="2">
        <v>42169</v>
      </c>
      <c r="AK3" s="2">
        <v>42176</v>
      </c>
      <c r="AL3" s="2">
        <v>42183</v>
      </c>
      <c r="AM3" s="2">
        <v>42190</v>
      </c>
      <c r="AN3" s="2">
        <v>42197</v>
      </c>
      <c r="AO3" s="2">
        <v>42204</v>
      </c>
      <c r="AP3" s="2">
        <v>42211</v>
      </c>
      <c r="AQ3" s="2">
        <v>42218</v>
      </c>
      <c r="AR3" s="2">
        <v>42225</v>
      </c>
      <c r="AS3" s="2">
        <v>42232</v>
      </c>
      <c r="AT3" s="2">
        <v>42239</v>
      </c>
      <c r="AU3" s="2">
        <v>42246</v>
      </c>
      <c r="AV3" s="2">
        <v>42253</v>
      </c>
      <c r="AW3" s="2">
        <v>42260</v>
      </c>
      <c r="AX3" s="2">
        <v>42267</v>
      </c>
      <c r="AY3" s="2">
        <v>42274</v>
      </c>
      <c r="AZ3" s="2">
        <v>42281</v>
      </c>
      <c r="BA3" s="2">
        <v>42288</v>
      </c>
      <c r="BB3" s="2">
        <v>42295</v>
      </c>
      <c r="BC3" s="2">
        <v>42302</v>
      </c>
      <c r="BD3" s="2">
        <v>42309</v>
      </c>
      <c r="BE3" s="2">
        <v>42316</v>
      </c>
      <c r="BF3" s="2">
        <v>42323</v>
      </c>
      <c r="BG3" s="2">
        <v>42330</v>
      </c>
      <c r="BH3" s="2">
        <v>42337</v>
      </c>
      <c r="BI3" s="2">
        <v>42344</v>
      </c>
      <c r="BJ3" s="2">
        <v>42351</v>
      </c>
      <c r="BK3" s="2">
        <v>42358</v>
      </c>
      <c r="BL3" s="2">
        <v>42365</v>
      </c>
      <c r="BM3" s="2">
        <v>42372</v>
      </c>
      <c r="BN3" s="2">
        <v>42379</v>
      </c>
      <c r="BO3" s="2">
        <v>42386</v>
      </c>
      <c r="BP3" s="2">
        <v>42393</v>
      </c>
      <c r="BQ3" s="2">
        <v>42400</v>
      </c>
      <c r="BR3" s="2">
        <v>42407</v>
      </c>
      <c r="BS3" s="2">
        <v>42414</v>
      </c>
      <c r="BT3" s="2">
        <v>42421</v>
      </c>
      <c r="BU3" s="2">
        <v>42428</v>
      </c>
      <c r="BV3" s="2">
        <v>42435</v>
      </c>
      <c r="BW3" s="2">
        <v>42442</v>
      </c>
      <c r="BX3" s="2">
        <v>42449</v>
      </c>
      <c r="BY3" s="2">
        <v>42456</v>
      </c>
      <c r="BZ3" s="2">
        <v>42463</v>
      </c>
      <c r="CA3" s="2">
        <v>42470</v>
      </c>
      <c r="CB3" s="2">
        <v>42477</v>
      </c>
      <c r="CC3" s="2">
        <v>42484</v>
      </c>
      <c r="CD3" s="2">
        <v>42491</v>
      </c>
      <c r="CE3" s="2">
        <v>42498</v>
      </c>
      <c r="CF3" s="2">
        <v>42505</v>
      </c>
      <c r="CG3" s="2">
        <v>42512</v>
      </c>
      <c r="CH3" s="2">
        <v>42519</v>
      </c>
      <c r="CI3" s="2">
        <v>42526</v>
      </c>
      <c r="CJ3" s="2">
        <v>42533</v>
      </c>
      <c r="CK3" s="2">
        <v>42540</v>
      </c>
      <c r="CL3" s="2">
        <v>42547</v>
      </c>
      <c r="CM3" s="2">
        <v>42554</v>
      </c>
      <c r="CN3" s="2">
        <v>42561</v>
      </c>
      <c r="CO3" s="2">
        <v>42568</v>
      </c>
      <c r="CP3" s="2">
        <v>42575</v>
      </c>
      <c r="CQ3" s="2">
        <v>42582</v>
      </c>
      <c r="CR3" s="2">
        <v>42589</v>
      </c>
      <c r="CS3" s="2">
        <v>42596</v>
      </c>
      <c r="CT3" s="2">
        <v>42603</v>
      </c>
      <c r="CU3" s="2">
        <v>42610</v>
      </c>
      <c r="CV3" s="2">
        <v>42617</v>
      </c>
      <c r="CW3" s="2">
        <v>42624</v>
      </c>
      <c r="CX3" s="2">
        <v>42631</v>
      </c>
      <c r="CY3" s="2">
        <v>42638</v>
      </c>
      <c r="CZ3" s="2">
        <v>42645</v>
      </c>
      <c r="DA3" s="2">
        <v>42652</v>
      </c>
      <c r="DB3" s="2">
        <v>42659</v>
      </c>
      <c r="DC3" s="2">
        <v>42666</v>
      </c>
      <c r="DD3" s="2">
        <v>42673</v>
      </c>
      <c r="DE3" s="2">
        <v>42680</v>
      </c>
      <c r="DF3" s="2">
        <v>42687</v>
      </c>
      <c r="DG3" s="2">
        <v>42694</v>
      </c>
      <c r="DH3" s="2">
        <v>42701</v>
      </c>
      <c r="DI3" s="2">
        <v>42708</v>
      </c>
      <c r="DJ3" s="2">
        <v>42715</v>
      </c>
      <c r="DK3" s="2">
        <v>42722</v>
      </c>
      <c r="DL3" s="2">
        <v>42729</v>
      </c>
      <c r="DM3" s="2">
        <v>42736</v>
      </c>
      <c r="DN3" s="2">
        <v>42743</v>
      </c>
      <c r="DO3" s="2">
        <v>42750</v>
      </c>
      <c r="DP3" s="2">
        <v>42757</v>
      </c>
      <c r="DQ3" s="2">
        <v>42764</v>
      </c>
      <c r="DR3" s="2">
        <v>42771</v>
      </c>
      <c r="DS3" s="2">
        <v>42778</v>
      </c>
      <c r="DT3" s="2">
        <v>42785</v>
      </c>
      <c r="DU3" s="2">
        <v>42792</v>
      </c>
      <c r="DV3" s="2">
        <v>42799</v>
      </c>
      <c r="DW3" s="2">
        <v>42806</v>
      </c>
      <c r="DX3" s="2">
        <v>42813</v>
      </c>
      <c r="DY3" s="2">
        <v>42820</v>
      </c>
      <c r="DZ3" s="2">
        <v>42827</v>
      </c>
      <c r="EA3" s="2">
        <v>42834</v>
      </c>
      <c r="EB3" s="2">
        <v>42841</v>
      </c>
      <c r="EC3" s="2">
        <v>42848</v>
      </c>
      <c r="ED3" s="2">
        <v>42855</v>
      </c>
      <c r="EE3" s="2">
        <v>42862</v>
      </c>
      <c r="EF3" s="2">
        <v>42869</v>
      </c>
      <c r="EG3" s="2">
        <v>42876</v>
      </c>
      <c r="EH3" s="2">
        <v>42883</v>
      </c>
      <c r="EI3" s="2">
        <v>42890</v>
      </c>
      <c r="EJ3" s="2">
        <v>42897</v>
      </c>
      <c r="EK3" s="2">
        <v>42904</v>
      </c>
      <c r="EL3" s="2">
        <v>42911</v>
      </c>
      <c r="EM3" s="2">
        <v>42918</v>
      </c>
      <c r="EN3" s="2">
        <v>42925</v>
      </c>
      <c r="EO3" s="2">
        <v>42932</v>
      </c>
      <c r="EP3" s="2">
        <v>42939</v>
      </c>
      <c r="EQ3" s="2">
        <v>42946</v>
      </c>
      <c r="ER3" s="2">
        <v>42953</v>
      </c>
      <c r="ES3" s="2">
        <v>42960</v>
      </c>
      <c r="ET3" s="2">
        <v>42967</v>
      </c>
      <c r="EU3" s="2">
        <v>42974</v>
      </c>
      <c r="EV3" s="2">
        <v>42981</v>
      </c>
      <c r="EW3" s="2">
        <v>42988</v>
      </c>
      <c r="EX3" s="2">
        <v>42995</v>
      </c>
      <c r="EY3" s="2">
        <v>43002</v>
      </c>
      <c r="EZ3" s="2">
        <v>43009</v>
      </c>
      <c r="FA3" s="2">
        <v>43016</v>
      </c>
      <c r="FB3" s="2">
        <v>43023</v>
      </c>
      <c r="FC3" s="2">
        <v>43030</v>
      </c>
    </row>
    <row r="5" spans="1:159" x14ac:dyDescent="0.3">
      <c r="A5" s="3" t="s">
        <v>3</v>
      </c>
    </row>
    <row r="6" spans="1:159" x14ac:dyDescent="0.3">
      <c r="A6" t="s">
        <v>4</v>
      </c>
      <c r="B6" s="4">
        <v>16265</v>
      </c>
      <c r="C6" s="4">
        <v>12110</v>
      </c>
      <c r="D6" s="4">
        <v>10671</v>
      </c>
      <c r="E6" s="4">
        <v>8654</v>
      </c>
      <c r="F6" s="4">
        <v>14195</v>
      </c>
      <c r="G6" s="4">
        <v>18966</v>
      </c>
      <c r="H6" s="4">
        <v>28597</v>
      </c>
      <c r="I6" s="4">
        <v>18427</v>
      </c>
      <c r="J6" s="4">
        <v>16757</v>
      </c>
      <c r="K6" s="4">
        <v>15739</v>
      </c>
      <c r="L6" s="4">
        <v>12452</v>
      </c>
      <c r="M6" s="4">
        <v>9514</v>
      </c>
      <c r="N6" s="4">
        <v>22326</v>
      </c>
      <c r="O6" s="4">
        <v>17426</v>
      </c>
      <c r="P6" s="4">
        <v>29419</v>
      </c>
      <c r="Q6" s="4">
        <v>19061</v>
      </c>
      <c r="R6" s="4">
        <v>17794</v>
      </c>
      <c r="S6" s="4">
        <v>21270</v>
      </c>
      <c r="T6" s="4">
        <v>14025</v>
      </c>
      <c r="U6" s="4">
        <v>12727</v>
      </c>
      <c r="V6" s="4">
        <v>16097</v>
      </c>
      <c r="W6" s="4">
        <v>13900</v>
      </c>
      <c r="X6" s="4">
        <v>9647</v>
      </c>
      <c r="Y6" s="4">
        <v>12439</v>
      </c>
      <c r="Z6" s="4">
        <v>7443.6</v>
      </c>
      <c r="AA6" s="4">
        <v>4753</v>
      </c>
      <c r="AB6" s="4">
        <v>4955</v>
      </c>
      <c r="AC6" s="4">
        <v>12652</v>
      </c>
      <c r="AD6" s="4">
        <v>11856</v>
      </c>
      <c r="AE6" s="4">
        <v>9950</v>
      </c>
      <c r="AF6" s="4">
        <v>8621</v>
      </c>
      <c r="AG6" s="4">
        <v>12742</v>
      </c>
      <c r="AH6" s="4">
        <v>10637</v>
      </c>
      <c r="AI6" s="4">
        <v>54712</v>
      </c>
      <c r="AJ6" s="4">
        <v>17662</v>
      </c>
      <c r="AK6" s="4">
        <v>13806</v>
      </c>
      <c r="AL6" s="4">
        <v>16759</v>
      </c>
      <c r="AM6" s="4">
        <v>8259</v>
      </c>
      <c r="AN6" s="4">
        <v>6083</v>
      </c>
      <c r="AO6" s="4">
        <v>5202</v>
      </c>
      <c r="AP6" s="4">
        <v>6220</v>
      </c>
      <c r="AQ6" s="4">
        <v>6229</v>
      </c>
      <c r="AR6" s="4">
        <v>3778</v>
      </c>
      <c r="AS6" s="4">
        <v>54210</v>
      </c>
      <c r="AT6" s="4">
        <v>90902</v>
      </c>
      <c r="AU6" s="4">
        <v>4485</v>
      </c>
      <c r="AV6" s="4">
        <v>3810</v>
      </c>
      <c r="AW6" s="4">
        <v>4992</v>
      </c>
      <c r="AX6" s="4">
        <v>13828</v>
      </c>
      <c r="AY6" s="4">
        <v>14590</v>
      </c>
      <c r="AZ6" s="4">
        <v>18792</v>
      </c>
      <c r="BA6" s="4">
        <v>9814</v>
      </c>
      <c r="BB6" s="4">
        <v>10470</v>
      </c>
      <c r="BD6" s="4">
        <v>6419</v>
      </c>
      <c r="BE6" s="4">
        <v>9829</v>
      </c>
      <c r="BF6" s="4">
        <v>10270</v>
      </c>
      <c r="BG6" s="4">
        <v>24456</v>
      </c>
      <c r="BH6" s="4">
        <v>9901</v>
      </c>
      <c r="BI6" s="4">
        <v>8649</v>
      </c>
      <c r="BJ6" s="4">
        <v>11343</v>
      </c>
      <c r="BK6" s="4">
        <v>6156</v>
      </c>
      <c r="BL6" s="4">
        <v>9131</v>
      </c>
      <c r="BM6" s="4">
        <v>3527</v>
      </c>
      <c r="BN6" s="4">
        <v>4577</v>
      </c>
      <c r="BO6" s="4">
        <v>9744</v>
      </c>
      <c r="BP6" s="4">
        <v>9475</v>
      </c>
      <c r="BQ6" s="4">
        <v>6889</v>
      </c>
      <c r="BR6" s="4">
        <v>8310</v>
      </c>
      <c r="BS6" s="4">
        <v>3306</v>
      </c>
      <c r="BT6" s="4">
        <v>4794</v>
      </c>
      <c r="BU6" s="4">
        <v>10261</v>
      </c>
      <c r="BV6" s="4">
        <v>5129</v>
      </c>
      <c r="BW6" s="4">
        <v>5534.9</v>
      </c>
      <c r="BX6" s="4">
        <v>6658</v>
      </c>
      <c r="BY6" s="4">
        <v>11975</v>
      </c>
      <c r="BZ6" s="4">
        <v>6615</v>
      </c>
      <c r="CA6" s="4">
        <v>6106</v>
      </c>
      <c r="CB6" s="4">
        <v>9806</v>
      </c>
      <c r="CC6" s="4">
        <v>9830</v>
      </c>
      <c r="CD6" s="4">
        <v>8721</v>
      </c>
      <c r="CE6" s="4">
        <v>6611</v>
      </c>
      <c r="CF6" s="4">
        <v>5587</v>
      </c>
      <c r="CG6" s="4">
        <v>7050</v>
      </c>
      <c r="CH6" s="4">
        <v>15217</v>
      </c>
      <c r="CI6" s="4">
        <v>9958</v>
      </c>
      <c r="CJ6" s="4">
        <v>5567</v>
      </c>
      <c r="CK6" s="4">
        <v>7947</v>
      </c>
      <c r="CL6" s="4">
        <v>8218</v>
      </c>
      <c r="CM6" s="4">
        <v>6867</v>
      </c>
      <c r="CN6" s="4">
        <v>7949</v>
      </c>
      <c r="CO6" s="4">
        <v>13836</v>
      </c>
      <c r="CP6" s="4">
        <v>3408</v>
      </c>
      <c r="CQ6" s="4">
        <v>22721</v>
      </c>
      <c r="CR6" s="4">
        <v>3629</v>
      </c>
      <c r="CS6" s="4">
        <v>5354</v>
      </c>
      <c r="CT6" s="4">
        <v>5118</v>
      </c>
      <c r="CU6" s="4">
        <v>5950</v>
      </c>
      <c r="CV6" s="4">
        <v>6155</v>
      </c>
      <c r="CW6" s="4">
        <v>20898</v>
      </c>
      <c r="CX6" s="4">
        <v>10823</v>
      </c>
      <c r="CY6" s="4">
        <v>10472</v>
      </c>
      <c r="CZ6" s="4">
        <v>8863</v>
      </c>
      <c r="DA6" s="4">
        <v>11091</v>
      </c>
      <c r="DB6" s="4">
        <v>5065</v>
      </c>
      <c r="DC6" s="4">
        <v>5998</v>
      </c>
      <c r="DD6">
        <v>4860</v>
      </c>
      <c r="DE6" s="4">
        <v>4385</v>
      </c>
      <c r="DF6" s="4">
        <v>4493</v>
      </c>
      <c r="DG6" s="4">
        <v>5126</v>
      </c>
      <c r="DH6" s="4">
        <v>8724</v>
      </c>
      <c r="DI6" s="4">
        <v>7072</v>
      </c>
      <c r="DJ6" s="4">
        <v>5143</v>
      </c>
      <c r="DK6" s="4">
        <v>8925</v>
      </c>
      <c r="DL6" s="4">
        <v>5125</v>
      </c>
      <c r="DM6" s="4">
        <v>5009</v>
      </c>
      <c r="DN6" s="4">
        <v>8273</v>
      </c>
      <c r="DO6" s="4">
        <v>4647</v>
      </c>
      <c r="DP6" s="4">
        <v>5039</v>
      </c>
      <c r="DQ6" s="4">
        <v>15732</v>
      </c>
      <c r="DR6">
        <f>3830*7/5</f>
        <v>5362</v>
      </c>
      <c r="DS6" s="4">
        <v>4618</v>
      </c>
      <c r="DT6" s="4">
        <v>4587</v>
      </c>
      <c r="DU6" s="4">
        <v>7056</v>
      </c>
      <c r="DV6" s="4">
        <v>7084</v>
      </c>
      <c r="EE6">
        <v>493</v>
      </c>
      <c r="EF6">
        <v>3523</v>
      </c>
      <c r="EG6">
        <v>281</v>
      </c>
      <c r="EI6">
        <v>120</v>
      </c>
      <c r="EJ6">
        <v>102483</v>
      </c>
      <c r="EK6">
        <v>952</v>
      </c>
      <c r="EL6">
        <v>7784</v>
      </c>
      <c r="EM6">
        <v>1006</v>
      </c>
      <c r="EN6">
        <v>5261</v>
      </c>
      <c r="EO6">
        <v>765</v>
      </c>
      <c r="EP6">
        <v>417</v>
      </c>
      <c r="EQ6">
        <v>578</v>
      </c>
      <c r="ER6">
        <v>11596</v>
      </c>
      <c r="ES6">
        <v>375</v>
      </c>
      <c r="ET6">
        <v>1417</v>
      </c>
      <c r="EU6">
        <v>1356</v>
      </c>
      <c r="EV6">
        <v>753</v>
      </c>
      <c r="EW6">
        <v>272</v>
      </c>
      <c r="EX6">
        <v>370</v>
      </c>
      <c r="EY6">
        <v>3595</v>
      </c>
      <c r="EZ6">
        <v>6969</v>
      </c>
      <c r="FA6">
        <v>6087</v>
      </c>
      <c r="FB6">
        <v>2986</v>
      </c>
    </row>
    <row r="7" spans="1:159" x14ac:dyDescent="0.3">
      <c r="A7" t="s">
        <v>5</v>
      </c>
      <c r="B7" s="4">
        <v>611</v>
      </c>
      <c r="C7" s="4">
        <v>490</v>
      </c>
      <c r="D7" s="4">
        <v>369</v>
      </c>
      <c r="E7" s="4">
        <v>373</v>
      </c>
      <c r="F7" s="4">
        <v>858</v>
      </c>
      <c r="G7" s="4">
        <v>1108</v>
      </c>
      <c r="H7" s="4">
        <v>249</v>
      </c>
      <c r="I7" s="4">
        <v>4</v>
      </c>
      <c r="J7" s="4">
        <v>4</v>
      </c>
      <c r="K7" s="4">
        <v>3</v>
      </c>
      <c r="L7" s="4">
        <v>3</v>
      </c>
      <c r="M7" s="4">
        <v>4</v>
      </c>
      <c r="N7" s="4">
        <v>1596</v>
      </c>
      <c r="O7" s="4">
        <v>864</v>
      </c>
      <c r="P7" s="4">
        <v>781</v>
      </c>
      <c r="Q7" s="4">
        <v>1315</v>
      </c>
      <c r="R7" s="4">
        <v>745</v>
      </c>
      <c r="S7" s="4">
        <v>865</v>
      </c>
      <c r="T7" s="4">
        <v>865</v>
      </c>
      <c r="U7" s="4">
        <v>866</v>
      </c>
      <c r="V7" s="4">
        <v>873</v>
      </c>
      <c r="W7" s="4">
        <v>748</v>
      </c>
      <c r="X7" s="4">
        <v>993</v>
      </c>
      <c r="Y7" s="4">
        <v>919</v>
      </c>
      <c r="Z7" s="4">
        <v>1122</v>
      </c>
      <c r="AA7" s="4">
        <v>874</v>
      </c>
      <c r="AB7" s="4">
        <v>1089</v>
      </c>
      <c r="AC7" s="4">
        <v>878</v>
      </c>
      <c r="AD7" s="4">
        <v>749.7</v>
      </c>
      <c r="AE7" s="4">
        <v>1001</v>
      </c>
      <c r="AF7" s="4">
        <v>253</v>
      </c>
      <c r="AG7" s="4">
        <v>879</v>
      </c>
      <c r="AH7" s="4">
        <v>880</v>
      </c>
      <c r="AI7" s="4">
        <v>945</v>
      </c>
      <c r="AJ7" s="4">
        <v>893</v>
      </c>
      <c r="AK7" s="4">
        <v>1132</v>
      </c>
      <c r="AL7" s="4">
        <v>887</v>
      </c>
      <c r="AM7" s="4">
        <v>1638</v>
      </c>
      <c r="AN7" s="4">
        <v>891</v>
      </c>
      <c r="AO7" s="4">
        <v>901</v>
      </c>
      <c r="AP7" s="4">
        <v>889</v>
      </c>
      <c r="AQ7" s="4">
        <v>890</v>
      </c>
      <c r="AR7" s="4">
        <v>897</v>
      </c>
      <c r="AS7" s="4">
        <v>3432</v>
      </c>
      <c r="AT7" s="4">
        <v>1034</v>
      </c>
      <c r="AU7" s="4">
        <v>908</v>
      </c>
      <c r="AV7" s="4">
        <v>904</v>
      </c>
      <c r="AW7" s="4">
        <v>1052</v>
      </c>
      <c r="AX7" s="4">
        <v>1187</v>
      </c>
      <c r="AY7" s="4">
        <v>904</v>
      </c>
      <c r="AZ7" s="4">
        <v>912</v>
      </c>
      <c r="BA7" s="4">
        <v>1165</v>
      </c>
      <c r="BB7" s="4">
        <v>688</v>
      </c>
      <c r="BD7" s="4">
        <v>789</v>
      </c>
      <c r="BE7" s="4">
        <v>1298</v>
      </c>
      <c r="BF7" s="4">
        <v>780</v>
      </c>
      <c r="BG7" s="4">
        <v>1237</v>
      </c>
      <c r="BH7" s="4">
        <v>908</v>
      </c>
      <c r="BI7" s="4">
        <v>651</v>
      </c>
      <c r="BJ7" s="4">
        <v>1168</v>
      </c>
      <c r="BK7" s="4">
        <v>928</v>
      </c>
      <c r="BL7" s="4">
        <v>910</v>
      </c>
      <c r="BM7" s="4">
        <v>771</v>
      </c>
      <c r="BN7" s="4">
        <v>1297</v>
      </c>
      <c r="BO7" s="4">
        <v>917</v>
      </c>
      <c r="BP7" s="4">
        <v>915</v>
      </c>
      <c r="BQ7" s="4">
        <v>908</v>
      </c>
      <c r="BR7" s="4">
        <v>788</v>
      </c>
      <c r="BS7" s="4">
        <v>367</v>
      </c>
      <c r="BT7" s="4">
        <v>13</v>
      </c>
      <c r="BU7" s="4">
        <v>265</v>
      </c>
      <c r="BV7" s="4">
        <v>270</v>
      </c>
      <c r="BW7" s="4">
        <v>6.3</v>
      </c>
      <c r="BX7" s="4">
        <v>11</v>
      </c>
      <c r="BY7" s="4">
        <v>2.4</v>
      </c>
      <c r="BZ7" s="4">
        <v>262</v>
      </c>
      <c r="CA7" s="4">
        <v>7</v>
      </c>
      <c r="CB7" s="4">
        <v>10</v>
      </c>
      <c r="CC7" s="4">
        <v>261</v>
      </c>
      <c r="CD7" s="4">
        <v>10.7</v>
      </c>
      <c r="CE7" s="4">
        <v>2.6</v>
      </c>
      <c r="CF7" s="4">
        <v>6.1</v>
      </c>
      <c r="CG7" s="4">
        <v>293.3</v>
      </c>
      <c r="CH7" s="4">
        <v>7</v>
      </c>
      <c r="CI7" s="4">
        <v>20</v>
      </c>
      <c r="CJ7" s="4">
        <v>10</v>
      </c>
      <c r="CK7" s="4">
        <v>264</v>
      </c>
      <c r="CL7" s="4">
        <v>8</v>
      </c>
      <c r="CM7" s="4">
        <v>26</v>
      </c>
      <c r="CN7" s="4">
        <v>283</v>
      </c>
      <c r="CO7" s="4">
        <v>25</v>
      </c>
      <c r="CP7" s="4">
        <v>267</v>
      </c>
      <c r="CQ7" s="4">
        <v>7.6</v>
      </c>
      <c r="CR7" s="4">
        <v>4</v>
      </c>
      <c r="CS7" s="4">
        <v>3</v>
      </c>
      <c r="CT7" s="4">
        <v>23</v>
      </c>
      <c r="CU7" s="4">
        <v>37</v>
      </c>
      <c r="CV7" s="4">
        <v>23</v>
      </c>
      <c r="CW7" s="4">
        <v>27</v>
      </c>
      <c r="CX7" s="4">
        <v>39</v>
      </c>
      <c r="CY7" s="4">
        <v>9</v>
      </c>
      <c r="CZ7" s="4">
        <v>681</v>
      </c>
      <c r="DA7" s="4">
        <v>919</v>
      </c>
      <c r="DB7" s="4">
        <v>1313</v>
      </c>
      <c r="DC7" s="4">
        <v>790</v>
      </c>
      <c r="DD7">
        <v>1579</v>
      </c>
      <c r="DE7" s="4">
        <v>1068</v>
      </c>
      <c r="DF7" s="4">
        <v>923</v>
      </c>
      <c r="DG7" s="4">
        <v>960</v>
      </c>
      <c r="DH7" s="4">
        <v>1319</v>
      </c>
      <c r="DI7" s="4">
        <v>2930.3</v>
      </c>
      <c r="DJ7" s="4">
        <v>2898</v>
      </c>
      <c r="DK7" s="4">
        <v>1093</v>
      </c>
      <c r="DL7" s="4">
        <v>883</v>
      </c>
      <c r="DM7" s="4">
        <v>937</v>
      </c>
      <c r="DN7" s="4">
        <v>923</v>
      </c>
      <c r="DO7" s="4">
        <v>1329</v>
      </c>
      <c r="DP7" s="4">
        <v>959</v>
      </c>
      <c r="DQ7" s="4">
        <v>1072</v>
      </c>
      <c r="DR7">
        <f>796*7/5</f>
        <v>1114.4000000000001</v>
      </c>
      <c r="DS7" s="4">
        <v>931</v>
      </c>
      <c r="DT7" s="4">
        <v>1214</v>
      </c>
      <c r="DU7" s="4">
        <v>947</v>
      </c>
      <c r="DV7" s="4">
        <v>968</v>
      </c>
      <c r="EE7">
        <v>7</v>
      </c>
      <c r="EF7">
        <v>19</v>
      </c>
      <c r="EG7">
        <v>3.3</v>
      </c>
      <c r="EI7">
        <v>1</v>
      </c>
      <c r="EJ7">
        <v>1.1000000000000001</v>
      </c>
      <c r="EK7">
        <v>137</v>
      </c>
      <c r="EL7">
        <v>8</v>
      </c>
      <c r="EM7">
        <v>19</v>
      </c>
      <c r="EN7">
        <v>14</v>
      </c>
      <c r="EO7">
        <v>68</v>
      </c>
      <c r="EP7">
        <v>4</v>
      </c>
      <c r="EQ7">
        <v>29</v>
      </c>
      <c r="ER7">
        <v>18</v>
      </c>
      <c r="ES7">
        <v>103</v>
      </c>
      <c r="ET7">
        <v>20</v>
      </c>
      <c r="EU7">
        <v>32</v>
      </c>
      <c r="EV7">
        <v>27</v>
      </c>
      <c r="EW7">
        <v>28</v>
      </c>
      <c r="EX7">
        <v>11</v>
      </c>
      <c r="EY7">
        <v>975</v>
      </c>
      <c r="EZ7">
        <v>10</v>
      </c>
      <c r="FA7">
        <v>142</v>
      </c>
      <c r="FB7">
        <v>145</v>
      </c>
    </row>
    <row r="8" spans="1:159" x14ac:dyDescent="0.3">
      <c r="A8" t="s">
        <v>6</v>
      </c>
      <c r="B8" s="4">
        <v>5</v>
      </c>
      <c r="C8" s="4">
        <v>4</v>
      </c>
      <c r="D8" s="4">
        <v>3</v>
      </c>
      <c r="E8" s="4">
        <v>3</v>
      </c>
      <c r="F8" s="4">
        <v>7</v>
      </c>
      <c r="G8" s="4">
        <v>9</v>
      </c>
      <c r="H8" s="4">
        <v>3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9</v>
      </c>
      <c r="O8" s="4">
        <v>5</v>
      </c>
      <c r="P8" s="4">
        <v>5</v>
      </c>
      <c r="Q8" s="4">
        <v>7.3</v>
      </c>
      <c r="R8" s="4">
        <v>5</v>
      </c>
      <c r="S8" s="4">
        <v>5</v>
      </c>
      <c r="T8" s="4">
        <v>5</v>
      </c>
      <c r="U8" s="4">
        <v>5</v>
      </c>
      <c r="V8" s="4">
        <v>5</v>
      </c>
      <c r="W8" s="4">
        <v>5</v>
      </c>
      <c r="X8" s="4">
        <v>6</v>
      </c>
      <c r="Y8" s="4">
        <v>5.0999999999999996</v>
      </c>
      <c r="Z8" s="4">
        <v>7</v>
      </c>
      <c r="AA8" s="4">
        <v>5</v>
      </c>
      <c r="AB8" s="4">
        <v>5</v>
      </c>
      <c r="AC8" s="4">
        <v>6</v>
      </c>
      <c r="AD8" s="4">
        <v>4</v>
      </c>
      <c r="AE8" s="4">
        <v>6</v>
      </c>
      <c r="AF8" s="4">
        <v>1.4</v>
      </c>
      <c r="AG8" s="4">
        <v>5</v>
      </c>
      <c r="AH8" s="4">
        <v>5</v>
      </c>
      <c r="AI8" s="4">
        <v>6.3</v>
      </c>
      <c r="AJ8" s="4">
        <v>5</v>
      </c>
      <c r="AK8" s="4">
        <v>6</v>
      </c>
      <c r="AL8" s="4">
        <v>6</v>
      </c>
      <c r="AM8" s="4">
        <v>9.3000000000000007</v>
      </c>
      <c r="AN8" s="4">
        <v>6</v>
      </c>
      <c r="AO8" s="4">
        <v>5</v>
      </c>
      <c r="AP8" s="4">
        <v>5</v>
      </c>
      <c r="AQ8" s="4">
        <v>5</v>
      </c>
      <c r="AR8" s="4">
        <v>5</v>
      </c>
      <c r="AS8" s="4">
        <v>19</v>
      </c>
      <c r="AT8" s="4">
        <v>6</v>
      </c>
      <c r="AU8" s="4">
        <v>6</v>
      </c>
      <c r="AV8" s="4">
        <v>5</v>
      </c>
      <c r="AW8" s="4">
        <v>7</v>
      </c>
      <c r="AX8" s="4">
        <v>7</v>
      </c>
      <c r="AY8" s="4">
        <v>5</v>
      </c>
      <c r="AZ8" s="4">
        <v>6</v>
      </c>
      <c r="BA8" s="4">
        <v>6</v>
      </c>
      <c r="BB8" s="4">
        <v>4</v>
      </c>
      <c r="BD8" s="4">
        <v>4</v>
      </c>
      <c r="BE8" s="4">
        <v>7</v>
      </c>
      <c r="BF8" s="4">
        <v>4.3</v>
      </c>
      <c r="BG8" s="4">
        <v>7</v>
      </c>
      <c r="BH8" s="4">
        <v>5</v>
      </c>
      <c r="BI8" s="4">
        <v>4</v>
      </c>
      <c r="BJ8" s="4">
        <v>6</v>
      </c>
      <c r="BK8" s="4">
        <v>5</v>
      </c>
      <c r="BL8" s="4">
        <v>5</v>
      </c>
      <c r="BM8" s="4">
        <v>4</v>
      </c>
      <c r="BN8" s="4">
        <v>8</v>
      </c>
      <c r="BO8" s="4">
        <v>7</v>
      </c>
      <c r="BP8" s="4">
        <v>5</v>
      </c>
      <c r="BQ8" s="4">
        <v>5</v>
      </c>
      <c r="BR8" s="4">
        <v>4.3</v>
      </c>
      <c r="BS8" s="4">
        <v>1</v>
      </c>
      <c r="BT8" s="4">
        <v>0</v>
      </c>
      <c r="BU8" s="4">
        <v>1.4</v>
      </c>
      <c r="BV8" s="4">
        <v>2</v>
      </c>
      <c r="BW8" s="4">
        <v>0</v>
      </c>
      <c r="BX8" s="4">
        <v>0</v>
      </c>
      <c r="BY8" s="4">
        <v>0</v>
      </c>
      <c r="BZ8" s="4">
        <v>1</v>
      </c>
      <c r="CA8" s="4">
        <v>0</v>
      </c>
      <c r="CB8" s="4">
        <v>0</v>
      </c>
      <c r="CC8" s="4">
        <v>1</v>
      </c>
      <c r="CD8" s="4">
        <v>0</v>
      </c>
      <c r="CE8" s="4">
        <v>0</v>
      </c>
      <c r="CF8" s="4">
        <v>0.7</v>
      </c>
      <c r="CG8" s="4">
        <v>5.7</v>
      </c>
      <c r="CH8" s="4">
        <v>1</v>
      </c>
      <c r="CI8" s="4">
        <v>0</v>
      </c>
      <c r="CJ8" s="4">
        <v>1</v>
      </c>
      <c r="CK8" s="4">
        <v>1</v>
      </c>
      <c r="CL8" s="4">
        <v>1</v>
      </c>
      <c r="CM8" s="4">
        <v>0</v>
      </c>
      <c r="CN8" s="4">
        <v>1</v>
      </c>
      <c r="CO8" s="4">
        <v>0</v>
      </c>
      <c r="CP8" s="4"/>
      <c r="CQ8" s="4">
        <v>0</v>
      </c>
      <c r="CR8" s="4">
        <v>0</v>
      </c>
      <c r="CS8" s="4">
        <v>0</v>
      </c>
      <c r="CT8" s="4">
        <v>0</v>
      </c>
      <c r="CU8" s="4">
        <v>8</v>
      </c>
      <c r="CV8" s="4">
        <v>0</v>
      </c>
      <c r="CW8" s="4">
        <v>0</v>
      </c>
      <c r="CX8" s="4">
        <v>1</v>
      </c>
      <c r="CY8" s="4">
        <v>0</v>
      </c>
      <c r="CZ8" s="4">
        <v>7</v>
      </c>
      <c r="DA8" s="4">
        <v>5</v>
      </c>
      <c r="DB8" s="4">
        <v>7</v>
      </c>
      <c r="DC8" s="4">
        <v>5</v>
      </c>
      <c r="DD8">
        <v>10</v>
      </c>
      <c r="DE8" s="4">
        <v>6</v>
      </c>
      <c r="DF8" s="4">
        <v>6</v>
      </c>
      <c r="DG8" s="4">
        <v>22</v>
      </c>
      <c r="DH8" s="4">
        <v>7</v>
      </c>
      <c r="DI8" s="4">
        <v>27</v>
      </c>
      <c r="DJ8" s="4">
        <v>17</v>
      </c>
      <c r="DK8" s="4">
        <v>12</v>
      </c>
      <c r="DL8" s="4">
        <v>12</v>
      </c>
      <c r="DM8" s="4">
        <v>5</v>
      </c>
      <c r="DN8" s="4">
        <v>5</v>
      </c>
      <c r="DO8" s="4">
        <v>9</v>
      </c>
      <c r="DP8" s="4">
        <v>7</v>
      </c>
      <c r="DQ8" s="4">
        <v>9</v>
      </c>
      <c r="DR8">
        <f>7*7/5</f>
        <v>9.8000000000000007</v>
      </c>
      <c r="DS8" s="4">
        <v>7</v>
      </c>
      <c r="DT8" s="4">
        <v>9</v>
      </c>
      <c r="DU8" s="4">
        <v>7</v>
      </c>
      <c r="DV8" s="4">
        <v>9</v>
      </c>
      <c r="EE8">
        <v>0</v>
      </c>
      <c r="EG8">
        <v>0</v>
      </c>
      <c r="EI8">
        <v>1</v>
      </c>
      <c r="EJ8">
        <v>0</v>
      </c>
      <c r="EK8">
        <v>1</v>
      </c>
      <c r="EL8">
        <v>1</v>
      </c>
      <c r="EM8">
        <v>0</v>
      </c>
      <c r="EN8">
        <v>0</v>
      </c>
      <c r="EO8">
        <v>0</v>
      </c>
      <c r="EP8">
        <v>0</v>
      </c>
      <c r="EQ8">
        <v>1</v>
      </c>
      <c r="ER8">
        <v>1</v>
      </c>
      <c r="ES8">
        <v>0</v>
      </c>
      <c r="ET8">
        <v>0</v>
      </c>
      <c r="EU8">
        <v>0</v>
      </c>
      <c r="EV8">
        <v>1</v>
      </c>
      <c r="EW8">
        <v>1</v>
      </c>
      <c r="EX8">
        <v>0</v>
      </c>
      <c r="EY8">
        <v>0</v>
      </c>
      <c r="EZ8">
        <v>0</v>
      </c>
      <c r="FA8">
        <v>0</v>
      </c>
      <c r="FB8">
        <v>1</v>
      </c>
    </row>
    <row r="9" spans="1:159" x14ac:dyDescent="0.3">
      <c r="A9" t="s">
        <v>7</v>
      </c>
      <c r="B9" s="4">
        <v>1959</v>
      </c>
      <c r="C9" s="4">
        <v>2447</v>
      </c>
      <c r="D9" s="4">
        <v>2775</v>
      </c>
      <c r="E9" s="4">
        <v>2314</v>
      </c>
      <c r="F9" s="4">
        <v>4482</v>
      </c>
      <c r="G9" s="4">
        <v>8028</v>
      </c>
      <c r="H9" s="4">
        <v>3052</v>
      </c>
      <c r="I9" s="4">
        <v>4222</v>
      </c>
      <c r="J9" s="4">
        <v>3510</v>
      </c>
      <c r="K9" s="4">
        <v>2345</v>
      </c>
      <c r="L9" s="4">
        <v>1834.4</v>
      </c>
      <c r="M9" s="4">
        <v>1825.3</v>
      </c>
      <c r="N9" s="4">
        <v>3511</v>
      </c>
      <c r="O9" s="4">
        <v>2286</v>
      </c>
      <c r="P9" s="4">
        <v>2777</v>
      </c>
      <c r="Q9" s="4">
        <v>3576</v>
      </c>
      <c r="R9" s="4">
        <v>3978</v>
      </c>
      <c r="S9" s="4">
        <v>3392</v>
      </c>
      <c r="T9" s="4">
        <v>2100</v>
      </c>
      <c r="U9" s="4">
        <v>2307</v>
      </c>
      <c r="V9" s="4">
        <v>3613</v>
      </c>
      <c r="W9" s="4">
        <v>2923</v>
      </c>
      <c r="X9" s="4">
        <v>2411</v>
      </c>
      <c r="Y9" s="4">
        <v>2100</v>
      </c>
      <c r="Z9" s="4">
        <v>1868</v>
      </c>
      <c r="AA9" s="4">
        <v>1739</v>
      </c>
      <c r="AB9" s="4">
        <v>1631</v>
      </c>
      <c r="AC9" s="4">
        <v>2530</v>
      </c>
      <c r="AD9" s="4">
        <v>2200</v>
      </c>
      <c r="AE9" s="4">
        <v>1878</v>
      </c>
      <c r="AF9" s="4">
        <v>1916</v>
      </c>
      <c r="AG9" s="4">
        <v>2086</v>
      </c>
      <c r="AH9" s="4">
        <v>1760</v>
      </c>
      <c r="AI9" s="4">
        <v>5661</v>
      </c>
      <c r="AJ9" s="4">
        <v>1639</v>
      </c>
      <c r="AK9" s="4">
        <v>3592</v>
      </c>
      <c r="AL9" s="4">
        <v>2112</v>
      </c>
      <c r="AM9" s="4">
        <v>1819</v>
      </c>
      <c r="AN9" s="4">
        <v>1838</v>
      </c>
      <c r="AO9" s="4">
        <v>1705</v>
      </c>
      <c r="AP9" s="4">
        <v>2243</v>
      </c>
      <c r="AQ9" s="4">
        <v>2085</v>
      </c>
      <c r="AR9" s="4">
        <v>1640</v>
      </c>
      <c r="AS9" s="4">
        <v>1328</v>
      </c>
      <c r="AT9" s="4">
        <v>2146.4</v>
      </c>
      <c r="AU9" s="4">
        <v>1625</v>
      </c>
      <c r="AV9" s="4">
        <v>1130</v>
      </c>
      <c r="AW9" s="4">
        <v>2146</v>
      </c>
      <c r="AX9" s="4">
        <v>1640</v>
      </c>
      <c r="AY9" s="4">
        <v>2537</v>
      </c>
      <c r="AZ9" s="4">
        <v>12137</v>
      </c>
      <c r="BA9" s="4">
        <v>1966</v>
      </c>
      <c r="BB9" s="4">
        <v>2812</v>
      </c>
      <c r="BC9" s="4">
        <v>2827</v>
      </c>
      <c r="BD9" s="4">
        <v>1943</v>
      </c>
      <c r="BE9" s="4">
        <v>3457</v>
      </c>
      <c r="BF9" s="4">
        <v>2990</v>
      </c>
      <c r="BG9" s="4">
        <v>2648</v>
      </c>
      <c r="BH9" s="4">
        <v>2826</v>
      </c>
      <c r="BI9" s="4">
        <v>4766</v>
      </c>
      <c r="BJ9" s="4">
        <v>2614</v>
      </c>
      <c r="BK9" s="4">
        <v>1256</v>
      </c>
      <c r="BL9" s="4">
        <v>1543</v>
      </c>
      <c r="BM9" s="4">
        <v>1053</v>
      </c>
      <c r="BN9" s="4">
        <v>4050</v>
      </c>
      <c r="BO9" s="4">
        <v>2721</v>
      </c>
      <c r="BP9" s="4">
        <v>1730</v>
      </c>
      <c r="BQ9" s="4">
        <v>1250</v>
      </c>
      <c r="BR9" s="4">
        <v>3978</v>
      </c>
      <c r="BS9" s="4">
        <v>1201</v>
      </c>
      <c r="BT9" s="4">
        <v>1964</v>
      </c>
      <c r="BU9" s="4">
        <v>2225</v>
      </c>
      <c r="BV9" s="4">
        <v>2394</v>
      </c>
      <c r="BW9" s="4">
        <v>4878</v>
      </c>
      <c r="BX9" s="4">
        <v>2540</v>
      </c>
      <c r="BY9" s="4">
        <v>5828</v>
      </c>
      <c r="BZ9" s="4">
        <v>2302</v>
      </c>
      <c r="CA9" s="4">
        <v>2581</v>
      </c>
      <c r="CB9">
        <f>2291+28</f>
        <v>2319</v>
      </c>
      <c r="CC9" s="4">
        <v>3159</v>
      </c>
      <c r="CD9" s="4">
        <v>2629</v>
      </c>
      <c r="CE9" s="4">
        <v>2513</v>
      </c>
      <c r="CF9" s="4">
        <v>2417</v>
      </c>
      <c r="CG9" s="4">
        <v>2484</v>
      </c>
      <c r="CH9" s="4">
        <f>2115+31</f>
        <v>2146</v>
      </c>
      <c r="CI9" s="4">
        <f>2375+37</f>
        <v>2412</v>
      </c>
      <c r="CJ9" s="4">
        <f>2304+45</f>
        <v>2349</v>
      </c>
      <c r="CK9" s="4">
        <f>46+2359</f>
        <v>2405</v>
      </c>
      <c r="CL9" s="4">
        <f>52+2610</f>
        <v>2662</v>
      </c>
      <c r="CM9" s="4">
        <f>47+2018</f>
        <v>2065</v>
      </c>
      <c r="CN9" s="4">
        <v>900</v>
      </c>
      <c r="CO9" s="4">
        <v>845</v>
      </c>
      <c r="CP9" s="4">
        <v>1099</v>
      </c>
      <c r="CQ9">
        <f>253+765</f>
        <v>1018</v>
      </c>
      <c r="CR9">
        <f>1665+240</f>
        <v>1905</v>
      </c>
      <c r="CS9">
        <f>38+2275</f>
        <v>2313</v>
      </c>
      <c r="CT9">
        <f>2367+38</f>
        <v>2405</v>
      </c>
      <c r="CU9">
        <f>2558+37</f>
        <v>2595</v>
      </c>
      <c r="CV9">
        <f>35+2664</f>
        <v>2699</v>
      </c>
      <c r="CW9">
        <v>2641</v>
      </c>
      <c r="CX9">
        <f>2224+44</f>
        <v>2268</v>
      </c>
      <c r="CY9">
        <f>138+2544</f>
        <v>2682</v>
      </c>
      <c r="CZ9">
        <f>45+2645</f>
        <v>2690</v>
      </c>
      <c r="DA9">
        <f>45+2720</f>
        <v>2765</v>
      </c>
      <c r="DB9">
        <f>55+2728</f>
        <v>2783</v>
      </c>
      <c r="DC9">
        <f>45+3005</f>
        <v>3050</v>
      </c>
      <c r="DD9">
        <f>56+2514</f>
        <v>2570</v>
      </c>
      <c r="DE9">
        <f>44+2629</f>
        <v>2673</v>
      </c>
      <c r="DF9">
        <f>461+2116</f>
        <v>2577</v>
      </c>
      <c r="DG9">
        <f>2294+45</f>
        <v>2339</v>
      </c>
      <c r="DH9">
        <f>4877+60</f>
        <v>4937</v>
      </c>
      <c r="DI9">
        <f>5525+61</f>
        <v>5586</v>
      </c>
      <c r="DJ9">
        <f>39+2236</f>
        <v>2275</v>
      </c>
      <c r="DK9">
        <f>50+2387</f>
        <v>2437</v>
      </c>
      <c r="DL9" s="4">
        <f>41+2379</f>
        <v>2420</v>
      </c>
      <c r="DM9">
        <f>43+2484</f>
        <v>2527</v>
      </c>
      <c r="DN9">
        <f>43+2590</f>
        <v>2633</v>
      </c>
      <c r="DO9">
        <f>48+1907</f>
        <v>1955</v>
      </c>
      <c r="DP9">
        <f>44+1425</f>
        <v>1469</v>
      </c>
      <c r="DQ9">
        <f>31+2357</f>
        <v>2388</v>
      </c>
      <c r="DR9">
        <f>32*7/5+2852</f>
        <v>2896.8</v>
      </c>
      <c r="DS9">
        <f>45+2675</f>
        <v>2720</v>
      </c>
      <c r="DT9">
        <f>45+2494</f>
        <v>2539</v>
      </c>
      <c r="DU9">
        <f>84.6+2182</f>
        <v>2266.6</v>
      </c>
      <c r="DV9">
        <f>2750+69</f>
        <v>2819</v>
      </c>
      <c r="DW9">
        <v>18575</v>
      </c>
      <c r="DX9">
        <v>350</v>
      </c>
      <c r="DY9" t="s">
        <v>34</v>
      </c>
      <c r="DZ9" t="s">
        <v>34</v>
      </c>
      <c r="EE9">
        <v>1880</v>
      </c>
      <c r="EF9">
        <v>1853</v>
      </c>
      <c r="EG9">
        <v>1937</v>
      </c>
      <c r="EH9">
        <v>1771</v>
      </c>
      <c r="EI9">
        <f>18+2716</f>
        <v>2734</v>
      </c>
      <c r="EJ9">
        <f>29+2041</f>
        <v>2070</v>
      </c>
      <c r="EK9">
        <f>1916+132</f>
        <v>2048</v>
      </c>
      <c r="EL9">
        <f>2018</f>
        <v>2018</v>
      </c>
      <c r="EM9">
        <f>1846+76</f>
        <v>1922</v>
      </c>
      <c r="EN9">
        <f>2390+187</f>
        <v>2577</v>
      </c>
      <c r="EO9">
        <f>1898+71</f>
        <v>1969</v>
      </c>
      <c r="EP9">
        <f>2670+299</f>
        <v>2969</v>
      </c>
      <c r="EQ9">
        <f>74+2028</f>
        <v>2102</v>
      </c>
      <c r="ER9">
        <f>55+1898</f>
        <v>1953</v>
      </c>
      <c r="ES9">
        <f>48+2756</f>
        <v>2804</v>
      </c>
      <c r="ET9">
        <f>60+2393</f>
        <v>2453</v>
      </c>
      <c r="EU9">
        <f>74+2058</f>
        <v>2132</v>
      </c>
      <c r="EV9">
        <f>56+1949</f>
        <v>2005</v>
      </c>
      <c r="EW9">
        <f>47+1907</f>
        <v>1954</v>
      </c>
      <c r="EX9">
        <f>28254+52</f>
        <v>28306</v>
      </c>
      <c r="EY9">
        <f>2952+325</f>
        <v>3277</v>
      </c>
      <c r="EZ9">
        <v>1959</v>
      </c>
      <c r="FA9">
        <f>15933+231</f>
        <v>16164</v>
      </c>
      <c r="FB9">
        <f>1984+96</f>
        <v>2080</v>
      </c>
    </row>
    <row r="10" spans="1:159" x14ac:dyDescent="0.3">
      <c r="A10" t="s">
        <v>8</v>
      </c>
      <c r="B10" s="4"/>
      <c r="C10" s="4"/>
      <c r="D10" s="4"/>
      <c r="E10" s="4"/>
      <c r="F10" s="4"/>
      <c r="G10" s="4"/>
      <c r="H10" s="4"/>
      <c r="I10" s="4">
        <v>51</v>
      </c>
      <c r="J10" s="4">
        <v>127</v>
      </c>
      <c r="K10" s="4">
        <v>138</v>
      </c>
      <c r="L10" s="4">
        <v>100.9</v>
      </c>
      <c r="M10" s="4">
        <v>113</v>
      </c>
      <c r="N10" s="4">
        <v>127</v>
      </c>
      <c r="O10" s="4">
        <v>107</v>
      </c>
      <c r="P10" s="4">
        <v>111</v>
      </c>
      <c r="Q10" s="4">
        <v>153</v>
      </c>
      <c r="R10" s="4">
        <v>351</v>
      </c>
      <c r="S10" s="4">
        <v>257.89999999999998</v>
      </c>
      <c r="T10" s="4">
        <v>170</v>
      </c>
      <c r="U10" s="4">
        <v>110</v>
      </c>
      <c r="V10" s="4">
        <v>92.3</v>
      </c>
      <c r="W10" s="4">
        <v>115</v>
      </c>
      <c r="X10" s="4">
        <v>124</v>
      </c>
      <c r="Y10" s="4">
        <v>123</v>
      </c>
      <c r="Z10" s="4">
        <v>96</v>
      </c>
      <c r="AA10" s="4">
        <v>98</v>
      </c>
      <c r="AB10" s="4">
        <v>107</v>
      </c>
      <c r="AC10" s="4">
        <v>97</v>
      </c>
      <c r="AD10" s="4">
        <v>133</v>
      </c>
      <c r="AE10" s="4">
        <v>110</v>
      </c>
      <c r="AF10" s="4">
        <v>90.4</v>
      </c>
      <c r="AG10" s="4">
        <v>125</v>
      </c>
      <c r="AH10" s="4">
        <v>106</v>
      </c>
      <c r="AI10" s="4">
        <v>101</v>
      </c>
      <c r="AJ10" s="4">
        <v>75</v>
      </c>
      <c r="AK10" s="4">
        <v>6943</v>
      </c>
      <c r="AL10" s="4">
        <v>369</v>
      </c>
      <c r="AM10" s="4">
        <v>319</v>
      </c>
      <c r="AN10" s="4">
        <v>103</v>
      </c>
      <c r="AO10" s="4">
        <v>104</v>
      </c>
      <c r="AP10" s="4">
        <v>284</v>
      </c>
      <c r="AQ10" s="4">
        <v>95</v>
      </c>
      <c r="AR10" s="4">
        <v>111</v>
      </c>
      <c r="AS10" s="4">
        <v>231</v>
      </c>
      <c r="AT10" s="4">
        <v>160</v>
      </c>
      <c r="AU10" s="4">
        <v>728</v>
      </c>
      <c r="AV10" s="4">
        <v>161</v>
      </c>
      <c r="AW10" s="4">
        <v>160</v>
      </c>
      <c r="AX10" s="4">
        <v>1834</v>
      </c>
      <c r="AY10" s="4">
        <v>176</v>
      </c>
      <c r="AZ10" s="4">
        <v>2909</v>
      </c>
      <c r="BA10" s="4">
        <v>171</v>
      </c>
      <c r="BB10" s="4">
        <v>144</v>
      </c>
      <c r="BC10" s="4">
        <v>151</v>
      </c>
      <c r="BD10" s="4">
        <v>155</v>
      </c>
      <c r="BE10" s="4">
        <v>1080</v>
      </c>
      <c r="BF10" s="4">
        <v>1898</v>
      </c>
      <c r="BG10" s="4">
        <v>105</v>
      </c>
      <c r="BH10" s="4">
        <v>150</v>
      </c>
      <c r="BI10" s="4">
        <v>408</v>
      </c>
      <c r="BJ10" s="4">
        <v>524</v>
      </c>
      <c r="BK10" s="4">
        <v>176</v>
      </c>
      <c r="BL10" s="4">
        <v>544</v>
      </c>
      <c r="BM10" s="4">
        <v>103</v>
      </c>
      <c r="BN10" s="4">
        <v>268</v>
      </c>
      <c r="BO10" s="4">
        <v>441</v>
      </c>
      <c r="BP10" s="4">
        <v>129</v>
      </c>
      <c r="BQ10" s="4">
        <v>121</v>
      </c>
      <c r="BR10" s="4">
        <v>351</v>
      </c>
      <c r="BS10" s="4">
        <v>409</v>
      </c>
      <c r="BT10" s="4">
        <v>106</v>
      </c>
      <c r="BU10" s="4">
        <v>105</v>
      </c>
      <c r="BV10" s="4">
        <v>110</v>
      </c>
      <c r="BW10" s="4">
        <v>109</v>
      </c>
      <c r="BX10" s="4">
        <v>2030</v>
      </c>
      <c r="BY10" s="4">
        <v>251</v>
      </c>
      <c r="BZ10" s="4">
        <v>221</v>
      </c>
      <c r="CA10" s="4">
        <v>105</v>
      </c>
      <c r="CB10" s="4">
        <v>261</v>
      </c>
      <c r="CC10" s="4">
        <v>412</v>
      </c>
      <c r="CD10" s="4">
        <v>203</v>
      </c>
      <c r="CE10" s="4">
        <v>339</v>
      </c>
      <c r="CF10" s="4">
        <v>167</v>
      </c>
      <c r="CG10" s="4">
        <v>579</v>
      </c>
      <c r="CH10" s="4">
        <v>97</v>
      </c>
      <c r="CI10" s="4">
        <v>120</v>
      </c>
      <c r="CJ10" s="4">
        <v>104</v>
      </c>
      <c r="CK10" s="4">
        <v>101</v>
      </c>
      <c r="CL10" s="4">
        <v>103</v>
      </c>
      <c r="CM10" s="4">
        <v>133</v>
      </c>
      <c r="CN10" s="4"/>
      <c r="CO10" s="4"/>
      <c r="CP10" s="4"/>
      <c r="CQ10" s="4">
        <v>49</v>
      </c>
      <c r="CR10">
        <v>59</v>
      </c>
      <c r="CS10" s="4">
        <v>57</v>
      </c>
      <c r="CT10" s="4">
        <v>164</v>
      </c>
      <c r="CU10" s="4">
        <v>50</v>
      </c>
      <c r="CV10" s="4">
        <v>61</v>
      </c>
      <c r="CW10" s="4">
        <v>61</v>
      </c>
      <c r="CX10" s="4">
        <v>50</v>
      </c>
      <c r="CY10" s="4">
        <v>76</v>
      </c>
      <c r="CZ10" s="4">
        <v>289</v>
      </c>
      <c r="DA10" s="4">
        <v>241</v>
      </c>
      <c r="DB10" s="4">
        <v>184</v>
      </c>
      <c r="DC10" s="4">
        <v>167</v>
      </c>
      <c r="DD10" s="4">
        <v>181</v>
      </c>
      <c r="DE10" s="4">
        <v>251</v>
      </c>
      <c r="DF10" s="4">
        <v>55</v>
      </c>
      <c r="DG10" s="4">
        <v>120</v>
      </c>
      <c r="DH10" s="4">
        <v>93</v>
      </c>
      <c r="DI10" s="4">
        <v>60</v>
      </c>
      <c r="DJ10" s="4">
        <v>97</v>
      </c>
      <c r="DK10" s="4">
        <v>51</v>
      </c>
      <c r="DL10" s="4">
        <v>60</v>
      </c>
      <c r="DM10" s="4">
        <v>59</v>
      </c>
      <c r="DN10" s="4">
        <v>57</v>
      </c>
      <c r="DO10" s="4">
        <v>173</v>
      </c>
      <c r="DP10" s="4">
        <v>283</v>
      </c>
      <c r="DQ10" s="4">
        <v>725</v>
      </c>
      <c r="DR10" s="4">
        <v>627</v>
      </c>
      <c r="DS10" s="4">
        <v>957</v>
      </c>
      <c r="DT10" s="4">
        <v>435</v>
      </c>
      <c r="DU10" s="4">
        <v>396</v>
      </c>
      <c r="DV10" s="4">
        <v>259</v>
      </c>
      <c r="DW10" s="4">
        <v>597</v>
      </c>
      <c r="DX10" s="4">
        <v>263</v>
      </c>
      <c r="EE10">
        <v>111</v>
      </c>
      <c r="EF10">
        <v>103</v>
      </c>
      <c r="EG10">
        <v>54</v>
      </c>
      <c r="EH10">
        <v>132</v>
      </c>
      <c r="EI10">
        <v>177</v>
      </c>
      <c r="EJ10">
        <v>36</v>
      </c>
      <c r="EK10">
        <v>15</v>
      </c>
      <c r="EL10">
        <v>313</v>
      </c>
      <c r="EM10">
        <v>5</v>
      </c>
      <c r="EN10">
        <v>16</v>
      </c>
      <c r="EO10">
        <v>7</v>
      </c>
      <c r="EP10">
        <v>11</v>
      </c>
      <c r="EQ10">
        <v>19</v>
      </c>
      <c r="ER10">
        <v>6</v>
      </c>
      <c r="ES10">
        <v>47</v>
      </c>
      <c r="ET10">
        <v>29</v>
      </c>
      <c r="EU10">
        <v>16</v>
      </c>
      <c r="EV10">
        <v>272</v>
      </c>
      <c r="EW10">
        <v>274</v>
      </c>
      <c r="EX10">
        <v>885</v>
      </c>
      <c r="EY10">
        <v>773</v>
      </c>
      <c r="EZ10">
        <v>125</v>
      </c>
      <c r="FA10">
        <v>383</v>
      </c>
      <c r="FB10">
        <v>1075</v>
      </c>
    </row>
    <row r="11" spans="1:159" x14ac:dyDescent="0.3">
      <c r="A11" s="3" t="s">
        <v>9</v>
      </c>
      <c r="B11" s="4"/>
      <c r="C11" s="4"/>
      <c r="D11" s="4"/>
      <c r="E11" s="4"/>
      <c r="F11" s="4"/>
      <c r="G11" s="4"/>
      <c r="H11" s="4"/>
      <c r="I11" s="4"/>
      <c r="J11" s="4"/>
    </row>
    <row r="12" spans="1:159" x14ac:dyDescent="0.3">
      <c r="A12" t="s">
        <v>4</v>
      </c>
      <c r="B12">
        <v>2045</v>
      </c>
      <c r="C12">
        <v>989</v>
      </c>
      <c r="D12">
        <v>1498</v>
      </c>
      <c r="E12">
        <v>1387</v>
      </c>
      <c r="F12">
        <v>362</v>
      </c>
      <c r="G12">
        <v>4021</v>
      </c>
      <c r="H12">
        <v>1548</v>
      </c>
      <c r="I12">
        <v>2048</v>
      </c>
      <c r="J12">
        <v>1284</v>
      </c>
      <c r="K12">
        <v>1090</v>
      </c>
      <c r="L12">
        <v>792</v>
      </c>
      <c r="M12">
        <v>761</v>
      </c>
      <c r="N12">
        <v>1306</v>
      </c>
      <c r="O12">
        <v>1118</v>
      </c>
      <c r="P12">
        <v>2079</v>
      </c>
      <c r="Q12">
        <v>1297</v>
      </c>
      <c r="R12">
        <v>1132</v>
      </c>
      <c r="S12">
        <v>1532</v>
      </c>
      <c r="T12">
        <v>1054</v>
      </c>
      <c r="U12">
        <v>1259</v>
      </c>
      <c r="V12">
        <v>1071</v>
      </c>
      <c r="W12">
        <v>1510</v>
      </c>
      <c r="X12">
        <v>1130</v>
      </c>
      <c r="Y12">
        <v>1147</v>
      </c>
      <c r="Z12">
        <v>1162</v>
      </c>
      <c r="AA12">
        <v>980</v>
      </c>
      <c r="AB12">
        <v>890</v>
      </c>
      <c r="AC12">
        <v>1403</v>
      </c>
      <c r="AD12">
        <v>1504</v>
      </c>
      <c r="AE12">
        <v>1056</v>
      </c>
      <c r="AF12">
        <v>899</v>
      </c>
      <c r="AG12">
        <v>1980</v>
      </c>
      <c r="AH12">
        <v>791</v>
      </c>
      <c r="AI12">
        <v>2988</v>
      </c>
      <c r="AJ12">
        <v>783</v>
      </c>
      <c r="AK12">
        <v>1789</v>
      </c>
      <c r="AL12">
        <v>1022</v>
      </c>
      <c r="AM12">
        <v>929</v>
      </c>
      <c r="AN12">
        <v>958</v>
      </c>
      <c r="AO12">
        <v>884</v>
      </c>
      <c r="AP12">
        <v>1048</v>
      </c>
      <c r="AQ12">
        <v>9062</v>
      </c>
      <c r="AR12">
        <v>1112</v>
      </c>
      <c r="AS12">
        <v>798</v>
      </c>
      <c r="AT12">
        <v>2578</v>
      </c>
      <c r="AU12">
        <v>753</v>
      </c>
      <c r="AV12">
        <v>588</v>
      </c>
      <c r="AW12">
        <v>568</v>
      </c>
      <c r="AX12">
        <v>838</v>
      </c>
      <c r="AY12">
        <v>1303</v>
      </c>
      <c r="AZ12">
        <v>4985</v>
      </c>
      <c r="BA12">
        <v>1090</v>
      </c>
      <c r="BB12">
        <v>1317</v>
      </c>
      <c r="BC12">
        <v>1599</v>
      </c>
      <c r="BD12">
        <v>1052</v>
      </c>
      <c r="BE12">
        <v>1866</v>
      </c>
      <c r="BF12">
        <v>1487</v>
      </c>
      <c r="BG12">
        <v>2042</v>
      </c>
      <c r="BH12">
        <v>1351</v>
      </c>
      <c r="BI12">
        <v>2661</v>
      </c>
      <c r="BJ12">
        <v>1249</v>
      </c>
      <c r="BK12">
        <v>780</v>
      </c>
      <c r="BL12">
        <v>786</v>
      </c>
      <c r="BM12">
        <v>370</v>
      </c>
      <c r="BN12">
        <v>790</v>
      </c>
      <c r="BO12">
        <v>878</v>
      </c>
      <c r="BP12">
        <v>723</v>
      </c>
      <c r="BQ12">
        <v>712</v>
      </c>
      <c r="BR12">
        <v>680</v>
      </c>
      <c r="BS12">
        <v>735</v>
      </c>
      <c r="BT12">
        <v>1227</v>
      </c>
      <c r="BU12">
        <v>1280</v>
      </c>
      <c r="BV12">
        <v>1172</v>
      </c>
      <c r="BW12">
        <v>1792</v>
      </c>
      <c r="BX12">
        <v>1335</v>
      </c>
      <c r="BY12">
        <v>2980</v>
      </c>
      <c r="BZ12">
        <v>1233</v>
      </c>
      <c r="CA12">
        <v>1385</v>
      </c>
      <c r="CB12">
        <v>1236</v>
      </c>
      <c r="CC12">
        <v>1136</v>
      </c>
      <c r="CD12">
        <v>1280</v>
      </c>
      <c r="CE12">
        <v>1245</v>
      </c>
      <c r="CF12">
        <v>1280</v>
      </c>
      <c r="CG12">
        <v>1290</v>
      </c>
      <c r="CH12">
        <v>1283</v>
      </c>
      <c r="CI12">
        <v>1262</v>
      </c>
      <c r="CJ12">
        <v>1223</v>
      </c>
      <c r="CK12">
        <v>1407</v>
      </c>
      <c r="CL12">
        <v>1203</v>
      </c>
      <c r="CM12">
        <v>1111</v>
      </c>
      <c r="CN12">
        <v>392</v>
      </c>
      <c r="CO12">
        <v>431</v>
      </c>
      <c r="CP12">
        <v>267</v>
      </c>
      <c r="CQ12">
        <v>388</v>
      </c>
      <c r="CR12">
        <v>538</v>
      </c>
      <c r="CS12">
        <v>2555</v>
      </c>
      <c r="CT12">
        <v>1334</v>
      </c>
      <c r="CU12">
        <v>1459</v>
      </c>
      <c r="CV12">
        <v>2010</v>
      </c>
      <c r="CW12">
        <v>1533</v>
      </c>
      <c r="CX12">
        <v>2175</v>
      </c>
      <c r="CY12">
        <v>1454</v>
      </c>
      <c r="CZ12">
        <v>866</v>
      </c>
      <c r="DA12">
        <v>1486</v>
      </c>
      <c r="DB12">
        <v>1427</v>
      </c>
      <c r="DC12">
        <v>1604</v>
      </c>
      <c r="DD12">
        <v>1340</v>
      </c>
      <c r="DE12">
        <v>3018</v>
      </c>
      <c r="DF12">
        <v>964</v>
      </c>
      <c r="DG12">
        <v>1226</v>
      </c>
      <c r="DH12">
        <v>2330</v>
      </c>
      <c r="DI12">
        <v>851</v>
      </c>
      <c r="DJ12">
        <v>1175</v>
      </c>
      <c r="DK12">
        <v>1183</v>
      </c>
      <c r="DL12">
        <v>1271</v>
      </c>
      <c r="DM12">
        <v>1159</v>
      </c>
      <c r="DN12">
        <v>1385</v>
      </c>
      <c r="DO12">
        <v>1022</v>
      </c>
      <c r="DP12">
        <v>721</v>
      </c>
      <c r="DQ12">
        <v>1220</v>
      </c>
      <c r="DR12">
        <v>1388</v>
      </c>
      <c r="DS12" s="4">
        <v>5210</v>
      </c>
      <c r="DT12" s="4">
        <v>19503</v>
      </c>
      <c r="DU12" s="4">
        <v>17888</v>
      </c>
      <c r="DV12" s="4">
        <v>1449</v>
      </c>
      <c r="DW12" s="4">
        <v>651</v>
      </c>
      <c r="DX12" s="4">
        <v>1739</v>
      </c>
      <c r="DY12" s="4">
        <v>661</v>
      </c>
      <c r="DZ12" s="4">
        <v>387</v>
      </c>
      <c r="EA12" s="4">
        <v>404</v>
      </c>
      <c r="EB12" s="4">
        <v>1059</v>
      </c>
      <c r="EC12" s="4">
        <v>1163</v>
      </c>
      <c r="EN12">
        <v>141</v>
      </c>
      <c r="EO12">
        <v>1371</v>
      </c>
      <c r="EP12">
        <v>3998</v>
      </c>
      <c r="EQ12">
        <v>3225</v>
      </c>
      <c r="ER12">
        <v>1205</v>
      </c>
      <c r="ES12">
        <v>17347</v>
      </c>
      <c r="ET12">
        <v>1517</v>
      </c>
      <c r="EU12">
        <v>1171</v>
      </c>
      <c r="EV12">
        <v>1248</v>
      </c>
      <c r="EW12">
        <v>13503</v>
      </c>
      <c r="EX12">
        <v>4642</v>
      </c>
      <c r="EY12">
        <v>3615</v>
      </c>
      <c r="EZ12">
        <v>2644</v>
      </c>
      <c r="FA12">
        <v>1302</v>
      </c>
      <c r="FB12">
        <v>1153</v>
      </c>
    </row>
    <row r="13" spans="1:159" x14ac:dyDescent="0.3">
      <c r="A13" t="s">
        <v>35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E13" s="4"/>
      <c r="CF13" s="4"/>
      <c r="CG13" s="4"/>
      <c r="CH13" s="4"/>
      <c r="CI13" s="4"/>
      <c r="CJ13" s="4"/>
      <c r="CK13" s="4"/>
      <c r="CL13" s="4"/>
      <c r="CM13" s="4">
        <v>6</v>
      </c>
      <c r="CN13" s="4">
        <v>12</v>
      </c>
      <c r="CO13" s="4">
        <v>8</v>
      </c>
      <c r="CP13" s="4">
        <v>6</v>
      </c>
      <c r="CQ13" s="4">
        <v>3</v>
      </c>
      <c r="CR13" s="4"/>
      <c r="CS13" s="4">
        <v>2</v>
      </c>
      <c r="CT13" s="4">
        <v>2</v>
      </c>
      <c r="CU13" s="4"/>
    </row>
    <row r="14" spans="1:159" x14ac:dyDescent="0.3">
      <c r="A14" t="s">
        <v>7</v>
      </c>
      <c r="B14">
        <v>4664</v>
      </c>
      <c r="C14">
        <v>5963</v>
      </c>
      <c r="D14">
        <v>4705</v>
      </c>
      <c r="E14">
        <v>1719</v>
      </c>
      <c r="F14">
        <v>500</v>
      </c>
      <c r="G14">
        <v>5724</v>
      </c>
      <c r="H14">
        <v>2304</v>
      </c>
      <c r="I14">
        <v>2936</v>
      </c>
      <c r="J14">
        <v>1987</v>
      </c>
      <c r="K14">
        <v>1718</v>
      </c>
      <c r="L14">
        <v>1188</v>
      </c>
      <c r="M14">
        <v>1090</v>
      </c>
      <c r="N14">
        <v>2033</v>
      </c>
      <c r="O14">
        <v>1684</v>
      </c>
      <c r="P14">
        <v>2076</v>
      </c>
      <c r="Q14">
        <v>2058</v>
      </c>
      <c r="R14">
        <v>1917</v>
      </c>
      <c r="S14">
        <v>2452</v>
      </c>
      <c r="T14">
        <v>1628</v>
      </c>
      <c r="U14">
        <v>1852</v>
      </c>
      <c r="V14">
        <v>2093</v>
      </c>
      <c r="W14">
        <v>2273</v>
      </c>
      <c r="X14">
        <v>1576</v>
      </c>
      <c r="Y14">
        <v>1610</v>
      </c>
      <c r="Z14">
        <v>1387</v>
      </c>
      <c r="AA14">
        <v>1330</v>
      </c>
      <c r="AB14">
        <v>1183</v>
      </c>
      <c r="AC14">
        <v>2132</v>
      </c>
      <c r="AD14">
        <v>2227</v>
      </c>
      <c r="AE14">
        <v>1480</v>
      </c>
      <c r="AF14">
        <v>1381</v>
      </c>
      <c r="AG14">
        <v>1320</v>
      </c>
      <c r="AH14">
        <v>1159</v>
      </c>
      <c r="AI14">
        <v>2263</v>
      </c>
      <c r="AJ14">
        <v>1253</v>
      </c>
      <c r="AK14">
        <v>2742</v>
      </c>
      <c r="AL14">
        <v>1619</v>
      </c>
      <c r="AM14">
        <v>1384</v>
      </c>
      <c r="AN14">
        <v>1410</v>
      </c>
      <c r="AO14">
        <v>1278</v>
      </c>
      <c r="AP14">
        <v>1643</v>
      </c>
      <c r="AQ14">
        <v>940</v>
      </c>
      <c r="AR14">
        <v>1229</v>
      </c>
      <c r="AS14">
        <v>1006</v>
      </c>
      <c r="AT14">
        <v>1257</v>
      </c>
      <c r="AU14">
        <v>1074</v>
      </c>
      <c r="AV14">
        <v>834</v>
      </c>
      <c r="AW14">
        <v>853</v>
      </c>
      <c r="AX14">
        <v>1151</v>
      </c>
      <c r="AY14">
        <v>1870</v>
      </c>
      <c r="AZ14">
        <v>6723</v>
      </c>
      <c r="BA14">
        <v>1460</v>
      </c>
      <c r="BB14">
        <v>1790</v>
      </c>
      <c r="BC14">
        <v>2104</v>
      </c>
      <c r="BD14">
        <v>1386</v>
      </c>
      <c r="BE14">
        <v>2486</v>
      </c>
      <c r="BF14">
        <v>2054</v>
      </c>
      <c r="BG14">
        <v>1938</v>
      </c>
      <c r="BH14">
        <v>1897</v>
      </c>
      <c r="BI14">
        <v>3480</v>
      </c>
      <c r="BJ14">
        <v>1898</v>
      </c>
      <c r="BK14">
        <v>940</v>
      </c>
      <c r="BL14">
        <v>918</v>
      </c>
      <c r="BM14">
        <v>23576</v>
      </c>
      <c r="BN14">
        <v>91080</v>
      </c>
      <c r="BO14">
        <v>1821</v>
      </c>
      <c r="BP14">
        <v>1130</v>
      </c>
      <c r="BQ14">
        <v>1103</v>
      </c>
      <c r="BR14">
        <v>1090</v>
      </c>
      <c r="BS14">
        <v>1075</v>
      </c>
      <c r="BT14">
        <v>1648</v>
      </c>
      <c r="BU14">
        <v>1757</v>
      </c>
      <c r="BV14">
        <v>1599</v>
      </c>
      <c r="BW14">
        <v>2592</v>
      </c>
      <c r="BX14">
        <v>1858</v>
      </c>
      <c r="BY14">
        <v>3971</v>
      </c>
      <c r="BZ14">
        <v>1717</v>
      </c>
      <c r="CA14">
        <v>2015</v>
      </c>
      <c r="CB14">
        <v>1690</v>
      </c>
      <c r="CC14">
        <v>1679</v>
      </c>
      <c r="CD14">
        <v>1738</v>
      </c>
      <c r="CE14">
        <v>1672</v>
      </c>
      <c r="CF14">
        <v>1825</v>
      </c>
      <c r="CG14">
        <v>1745</v>
      </c>
      <c r="CH14">
        <v>1750</v>
      </c>
      <c r="CI14">
        <v>1733</v>
      </c>
      <c r="CJ14">
        <v>1697</v>
      </c>
      <c r="CK14">
        <v>1962</v>
      </c>
      <c r="CL14">
        <v>1620</v>
      </c>
      <c r="CM14">
        <v>1526</v>
      </c>
      <c r="CN14">
        <v>604</v>
      </c>
      <c r="CO14">
        <v>635</v>
      </c>
      <c r="CP14">
        <v>423</v>
      </c>
      <c r="CQ14">
        <v>657</v>
      </c>
      <c r="CR14">
        <v>774</v>
      </c>
      <c r="CS14">
        <v>1741</v>
      </c>
      <c r="CT14">
        <v>1776</v>
      </c>
      <c r="CU14">
        <v>2014</v>
      </c>
      <c r="CV14">
        <v>2324</v>
      </c>
      <c r="CW14">
        <v>2004</v>
      </c>
      <c r="CX14">
        <v>1738</v>
      </c>
      <c r="CY14">
        <v>2049</v>
      </c>
      <c r="CZ14">
        <v>1182</v>
      </c>
      <c r="DA14">
        <v>2112</v>
      </c>
      <c r="DB14">
        <v>2104</v>
      </c>
      <c r="DC14">
        <v>2229</v>
      </c>
      <c r="DD14">
        <v>1927</v>
      </c>
      <c r="DE14">
        <v>1599</v>
      </c>
      <c r="DF14">
        <v>1306</v>
      </c>
      <c r="DG14">
        <v>2015</v>
      </c>
      <c r="DH14">
        <v>5238</v>
      </c>
      <c r="DI14">
        <v>1215</v>
      </c>
      <c r="DJ14">
        <v>1648</v>
      </c>
      <c r="DK14">
        <v>1612</v>
      </c>
      <c r="DL14">
        <v>1741</v>
      </c>
      <c r="DM14">
        <v>1615</v>
      </c>
      <c r="DN14">
        <v>1951</v>
      </c>
      <c r="DO14">
        <v>1476</v>
      </c>
      <c r="DP14">
        <v>1105</v>
      </c>
      <c r="DQ14">
        <v>3702</v>
      </c>
      <c r="DR14">
        <v>1950</v>
      </c>
      <c r="DS14">
        <v>1760</v>
      </c>
      <c r="DT14" s="4">
        <v>1858</v>
      </c>
      <c r="DU14">
        <v>2136</v>
      </c>
      <c r="DV14" s="4">
        <v>2130</v>
      </c>
      <c r="DW14" s="4">
        <v>1011</v>
      </c>
      <c r="DX14" s="4">
        <v>501</v>
      </c>
      <c r="DY14" s="4">
        <v>507</v>
      </c>
      <c r="DZ14" s="4">
        <v>456</v>
      </c>
      <c r="EA14" s="4">
        <v>523</v>
      </c>
      <c r="EB14" s="4">
        <v>1431</v>
      </c>
      <c r="EC14" s="4">
        <v>1607</v>
      </c>
      <c r="EN14">
        <v>273</v>
      </c>
      <c r="EO14">
        <v>1889</v>
      </c>
      <c r="EP14">
        <v>2912</v>
      </c>
      <c r="EQ14">
        <v>2009</v>
      </c>
      <c r="ER14">
        <v>1537</v>
      </c>
      <c r="ES14">
        <v>1966</v>
      </c>
      <c r="ET14">
        <v>2123</v>
      </c>
      <c r="EU14">
        <v>1653</v>
      </c>
      <c r="EV14">
        <v>1807</v>
      </c>
      <c r="EW14">
        <v>1871</v>
      </c>
      <c r="EX14">
        <v>1837</v>
      </c>
      <c r="EY14">
        <v>3739</v>
      </c>
      <c r="EZ14">
        <v>1891</v>
      </c>
      <c r="FA14">
        <v>2474</v>
      </c>
      <c r="FB14">
        <v>1794</v>
      </c>
    </row>
    <row r="15" spans="1:159" x14ac:dyDescent="0.3">
      <c r="A15" t="s">
        <v>10</v>
      </c>
      <c r="B15">
        <v>1379</v>
      </c>
      <c r="C15">
        <v>823</v>
      </c>
      <c r="D15">
        <v>981</v>
      </c>
      <c r="E15">
        <v>967</v>
      </c>
      <c r="F15">
        <v>329</v>
      </c>
      <c r="G15">
        <v>2360</v>
      </c>
      <c r="H15">
        <v>4105</v>
      </c>
      <c r="I15">
        <v>1547</v>
      </c>
      <c r="J15">
        <v>1373</v>
      </c>
      <c r="K15">
        <v>854</v>
      </c>
      <c r="L15">
        <v>559</v>
      </c>
      <c r="M15">
        <v>504</v>
      </c>
      <c r="N15">
        <v>850</v>
      </c>
      <c r="O15">
        <v>815</v>
      </c>
      <c r="P15">
        <v>904</v>
      </c>
      <c r="Q15">
        <v>968</v>
      </c>
      <c r="R15">
        <v>932</v>
      </c>
      <c r="S15">
        <v>1120</v>
      </c>
      <c r="T15">
        <v>2085</v>
      </c>
      <c r="U15">
        <v>1104</v>
      </c>
      <c r="V15">
        <v>823</v>
      </c>
      <c r="W15">
        <v>1212</v>
      </c>
      <c r="X15">
        <v>880</v>
      </c>
      <c r="Y15">
        <v>1090</v>
      </c>
      <c r="Z15">
        <v>1244</v>
      </c>
      <c r="AA15">
        <v>865</v>
      </c>
      <c r="AB15">
        <v>1197</v>
      </c>
      <c r="AC15">
        <v>1497</v>
      </c>
      <c r="AD15">
        <v>1079</v>
      </c>
      <c r="AE15">
        <v>1443</v>
      </c>
      <c r="AF15">
        <v>1058</v>
      </c>
      <c r="AG15">
        <v>785</v>
      </c>
      <c r="AH15">
        <v>702</v>
      </c>
      <c r="AI15">
        <v>1566</v>
      </c>
      <c r="AJ15">
        <v>956</v>
      </c>
      <c r="AK15">
        <v>4659</v>
      </c>
      <c r="AL15">
        <v>997</v>
      </c>
      <c r="AM15">
        <v>957</v>
      </c>
      <c r="AN15">
        <v>1175</v>
      </c>
      <c r="AO15">
        <v>685</v>
      </c>
      <c r="AP15">
        <v>925</v>
      </c>
      <c r="AQ15">
        <v>544</v>
      </c>
      <c r="AR15">
        <v>952</v>
      </c>
      <c r="AS15">
        <v>1985</v>
      </c>
      <c r="AT15">
        <v>1003</v>
      </c>
      <c r="AU15">
        <v>1546</v>
      </c>
      <c r="AV15">
        <v>1060</v>
      </c>
      <c r="AW15">
        <v>1416</v>
      </c>
      <c r="AX15">
        <v>1206</v>
      </c>
      <c r="AY15">
        <v>1117</v>
      </c>
      <c r="AZ15">
        <v>2650</v>
      </c>
      <c r="BA15">
        <v>900</v>
      </c>
      <c r="BB15">
        <v>934</v>
      </c>
      <c r="BC15">
        <v>1139</v>
      </c>
      <c r="BD15">
        <v>1695</v>
      </c>
      <c r="BE15">
        <v>1161</v>
      </c>
      <c r="BF15">
        <v>1174</v>
      </c>
      <c r="BG15">
        <v>1598</v>
      </c>
      <c r="BH15">
        <v>1143</v>
      </c>
      <c r="BI15">
        <v>1651</v>
      </c>
      <c r="BJ15">
        <v>8238</v>
      </c>
      <c r="BK15">
        <v>2499</v>
      </c>
      <c r="BL15">
        <v>673</v>
      </c>
      <c r="BM15">
        <v>473</v>
      </c>
      <c r="BN15">
        <v>787</v>
      </c>
      <c r="BO15">
        <v>1096</v>
      </c>
      <c r="BP15">
        <v>842</v>
      </c>
      <c r="BQ15">
        <v>849</v>
      </c>
      <c r="BR15">
        <v>920</v>
      </c>
      <c r="BS15">
        <v>972</v>
      </c>
      <c r="BT15">
        <v>798</v>
      </c>
      <c r="BU15">
        <v>921</v>
      </c>
      <c r="BV15">
        <v>1079</v>
      </c>
      <c r="BW15">
        <v>1720</v>
      </c>
      <c r="BX15">
        <v>1159</v>
      </c>
      <c r="BY15">
        <v>5569</v>
      </c>
      <c r="BZ15">
        <v>1412</v>
      </c>
      <c r="CA15">
        <v>1193</v>
      </c>
      <c r="CB15">
        <v>936</v>
      </c>
      <c r="CC15">
        <v>2329</v>
      </c>
      <c r="CD15">
        <v>1097</v>
      </c>
      <c r="CE15">
        <v>913</v>
      </c>
      <c r="CF15">
        <v>879</v>
      </c>
      <c r="CG15">
        <v>1199</v>
      </c>
      <c r="CH15">
        <v>1162</v>
      </c>
      <c r="CI15">
        <v>996</v>
      </c>
      <c r="CJ15">
        <v>1637</v>
      </c>
      <c r="CK15">
        <v>960</v>
      </c>
      <c r="CL15">
        <v>1719</v>
      </c>
      <c r="CM15">
        <v>844</v>
      </c>
      <c r="CN15">
        <v>475</v>
      </c>
      <c r="CO15">
        <v>672</v>
      </c>
      <c r="CP15">
        <v>386</v>
      </c>
      <c r="CQ15">
        <v>797</v>
      </c>
      <c r="CR15">
        <v>459</v>
      </c>
      <c r="CS15">
        <v>879</v>
      </c>
      <c r="CT15">
        <v>2659</v>
      </c>
      <c r="CU15">
        <v>992</v>
      </c>
      <c r="CV15">
        <v>1140</v>
      </c>
      <c r="CW15">
        <v>1012</v>
      </c>
      <c r="CX15">
        <v>853</v>
      </c>
      <c r="CY15">
        <v>892</v>
      </c>
      <c r="CZ15">
        <v>573</v>
      </c>
      <c r="DA15">
        <v>955</v>
      </c>
      <c r="DB15">
        <v>929</v>
      </c>
      <c r="DC15">
        <v>964</v>
      </c>
      <c r="DD15">
        <v>1073</v>
      </c>
      <c r="DE15">
        <v>809</v>
      </c>
      <c r="DF15">
        <v>614</v>
      </c>
      <c r="DG15">
        <v>995</v>
      </c>
      <c r="DH15">
        <v>1388</v>
      </c>
      <c r="DI15">
        <v>508</v>
      </c>
      <c r="DJ15">
        <v>836</v>
      </c>
      <c r="DK15">
        <v>1096</v>
      </c>
      <c r="DL15">
        <v>752</v>
      </c>
      <c r="DM15">
        <v>742</v>
      </c>
      <c r="DN15">
        <v>877</v>
      </c>
      <c r="DO15">
        <v>1076</v>
      </c>
      <c r="DP15">
        <v>631</v>
      </c>
      <c r="DQ15">
        <v>1656</v>
      </c>
      <c r="DR15">
        <v>925</v>
      </c>
      <c r="DS15">
        <v>846</v>
      </c>
      <c r="DT15" s="4">
        <v>870</v>
      </c>
      <c r="DU15">
        <v>1186</v>
      </c>
      <c r="DV15">
        <v>851</v>
      </c>
      <c r="DW15">
        <v>514</v>
      </c>
      <c r="DX15">
        <v>397</v>
      </c>
      <c r="DY15">
        <v>410</v>
      </c>
      <c r="DZ15">
        <v>362</v>
      </c>
      <c r="EA15">
        <v>324</v>
      </c>
      <c r="EB15">
        <v>838</v>
      </c>
      <c r="EC15">
        <v>773</v>
      </c>
      <c r="EN15">
        <v>128</v>
      </c>
      <c r="EO15">
        <v>988</v>
      </c>
      <c r="EP15">
        <v>2642</v>
      </c>
      <c r="EQ15">
        <v>1126</v>
      </c>
      <c r="ER15">
        <v>646</v>
      </c>
      <c r="ES15">
        <v>753</v>
      </c>
      <c r="ET15">
        <v>923</v>
      </c>
      <c r="EU15">
        <v>742</v>
      </c>
      <c r="EV15">
        <v>1041</v>
      </c>
      <c r="EW15">
        <v>887</v>
      </c>
      <c r="EX15">
        <v>828</v>
      </c>
      <c r="EY15">
        <v>870</v>
      </c>
      <c r="EZ15">
        <v>837</v>
      </c>
      <c r="FA15">
        <v>1827</v>
      </c>
      <c r="FB15">
        <v>703</v>
      </c>
    </row>
    <row r="16" spans="1:159" x14ac:dyDescent="0.3">
      <c r="A16" t="s">
        <v>11</v>
      </c>
      <c r="B16">
        <v>1687</v>
      </c>
      <c r="C16">
        <v>437</v>
      </c>
      <c r="D16">
        <v>400</v>
      </c>
      <c r="E16">
        <v>310</v>
      </c>
      <c r="F16">
        <v>1390</v>
      </c>
      <c r="G16">
        <v>1726</v>
      </c>
      <c r="H16">
        <v>1790</v>
      </c>
      <c r="I16">
        <v>1512</v>
      </c>
      <c r="J16">
        <v>1476</v>
      </c>
      <c r="K16">
        <v>1758</v>
      </c>
      <c r="L16">
        <v>1420</v>
      </c>
      <c r="M16">
        <v>1422</v>
      </c>
      <c r="N16">
        <v>1531</v>
      </c>
      <c r="O16">
        <v>1497</v>
      </c>
      <c r="P16">
        <v>1791</v>
      </c>
      <c r="Q16">
        <v>724</v>
      </c>
      <c r="R16">
        <v>1052</v>
      </c>
      <c r="S16">
        <v>977</v>
      </c>
      <c r="T16">
        <v>791</v>
      </c>
      <c r="U16">
        <v>774</v>
      </c>
      <c r="V16">
        <v>745</v>
      </c>
      <c r="W16">
        <v>736</v>
      </c>
      <c r="X16">
        <v>1076</v>
      </c>
      <c r="Y16">
        <v>579</v>
      </c>
      <c r="Z16">
        <v>527</v>
      </c>
      <c r="AA16">
        <v>402</v>
      </c>
      <c r="AB16">
        <v>497</v>
      </c>
      <c r="AC16">
        <v>397</v>
      </c>
      <c r="AD16">
        <v>351</v>
      </c>
      <c r="AE16">
        <v>354</v>
      </c>
      <c r="AF16">
        <v>327</v>
      </c>
      <c r="AG16">
        <v>216</v>
      </c>
      <c r="AH16">
        <v>233</v>
      </c>
      <c r="AI16">
        <v>217</v>
      </c>
      <c r="AJ16">
        <v>130</v>
      </c>
      <c r="AK16">
        <v>121</v>
      </c>
      <c r="AL16">
        <v>108</v>
      </c>
      <c r="AM16">
        <v>122</v>
      </c>
      <c r="AN16">
        <v>127</v>
      </c>
      <c r="AO16">
        <v>112</v>
      </c>
      <c r="AP16">
        <v>118</v>
      </c>
      <c r="AQ16">
        <v>93</v>
      </c>
      <c r="AR16">
        <v>96</v>
      </c>
      <c r="AS16">
        <v>94</v>
      </c>
      <c r="AT16">
        <v>263</v>
      </c>
      <c r="AU16">
        <v>242</v>
      </c>
      <c r="AV16">
        <v>96</v>
      </c>
      <c r="AW16">
        <v>84</v>
      </c>
      <c r="AX16">
        <v>122</v>
      </c>
      <c r="AY16">
        <v>104</v>
      </c>
      <c r="AZ16">
        <v>84</v>
      </c>
      <c r="BA16">
        <v>106</v>
      </c>
      <c r="BB16">
        <v>110</v>
      </c>
      <c r="BC16">
        <v>107</v>
      </c>
      <c r="BD16">
        <v>111</v>
      </c>
      <c r="BE16">
        <v>100</v>
      </c>
      <c r="BF16">
        <v>96</v>
      </c>
      <c r="BG16">
        <v>102</v>
      </c>
      <c r="BH16">
        <v>85</v>
      </c>
      <c r="BI16">
        <v>97</v>
      </c>
      <c r="BJ16">
        <v>119</v>
      </c>
      <c r="BK16">
        <v>104</v>
      </c>
      <c r="BL16">
        <v>125</v>
      </c>
      <c r="BM16">
        <v>237</v>
      </c>
      <c r="BN16">
        <v>153</v>
      </c>
      <c r="BO16">
        <v>170</v>
      </c>
      <c r="BP16">
        <v>123</v>
      </c>
      <c r="BQ16">
        <v>280</v>
      </c>
      <c r="BR16">
        <v>96</v>
      </c>
      <c r="BS16">
        <v>109</v>
      </c>
      <c r="BT16">
        <v>93</v>
      </c>
      <c r="BU16">
        <v>98</v>
      </c>
      <c r="BV16">
        <v>119</v>
      </c>
      <c r="BW16">
        <v>122</v>
      </c>
      <c r="BX16">
        <v>151</v>
      </c>
      <c r="BY16">
        <v>102</v>
      </c>
      <c r="BZ16">
        <v>154</v>
      </c>
      <c r="CA16">
        <v>8389</v>
      </c>
      <c r="CB16">
        <v>121</v>
      </c>
      <c r="CC16">
        <v>160</v>
      </c>
      <c r="CD16">
        <v>91</v>
      </c>
      <c r="CE16">
        <v>117</v>
      </c>
      <c r="CF16">
        <v>104</v>
      </c>
      <c r="CG16">
        <v>100</v>
      </c>
      <c r="CH16">
        <v>89</v>
      </c>
      <c r="CI16">
        <v>89</v>
      </c>
      <c r="CJ16">
        <v>102</v>
      </c>
      <c r="CK16">
        <v>109</v>
      </c>
      <c r="CL16">
        <v>73</v>
      </c>
      <c r="CM16">
        <v>425</v>
      </c>
      <c r="CN16">
        <v>77</v>
      </c>
      <c r="CO16">
        <v>111</v>
      </c>
      <c r="CP16">
        <v>105</v>
      </c>
      <c r="CQ16">
        <v>113</v>
      </c>
      <c r="CR16">
        <v>81</v>
      </c>
      <c r="CS16">
        <v>103</v>
      </c>
      <c r="CT16">
        <v>64</v>
      </c>
      <c r="CU16">
        <v>64</v>
      </c>
      <c r="CV16">
        <v>96</v>
      </c>
      <c r="CW16">
        <v>93</v>
      </c>
      <c r="CX16">
        <v>55</v>
      </c>
      <c r="CY16" s="4" t="s">
        <v>34</v>
      </c>
      <c r="CZ16" s="4" t="s">
        <v>34</v>
      </c>
    </row>
    <row r="17" spans="1:157" x14ac:dyDescent="0.3">
      <c r="CP17" s="4" t="s">
        <v>34</v>
      </c>
      <c r="CR17" s="4" t="s">
        <v>34</v>
      </c>
    </row>
    <row r="18" spans="1:157" x14ac:dyDescent="0.3">
      <c r="A18" s="5" t="s">
        <v>24</v>
      </c>
    </row>
    <row r="19" spans="1:157" x14ac:dyDescent="0.3">
      <c r="A19" t="s">
        <v>4</v>
      </c>
      <c r="B19" s="4">
        <v>66</v>
      </c>
      <c r="C19" s="4">
        <v>65</v>
      </c>
      <c r="D19" s="4">
        <v>62</v>
      </c>
      <c r="E19" s="4">
        <v>86</v>
      </c>
      <c r="F19" s="4">
        <v>164</v>
      </c>
      <c r="G19" s="4">
        <v>218</v>
      </c>
      <c r="H19" s="4">
        <v>157</v>
      </c>
      <c r="I19" s="4">
        <v>111</v>
      </c>
      <c r="J19" s="4">
        <v>83</v>
      </c>
      <c r="K19" s="4">
        <v>59</v>
      </c>
      <c r="L19" s="4">
        <v>52</v>
      </c>
      <c r="M19" s="4">
        <v>57</v>
      </c>
      <c r="N19" s="4">
        <v>52</v>
      </c>
      <c r="O19" s="4">
        <v>374</v>
      </c>
      <c r="P19" s="4">
        <v>598</v>
      </c>
      <c r="Q19" s="4">
        <v>380</v>
      </c>
      <c r="R19" s="4">
        <v>175</v>
      </c>
      <c r="S19" s="4">
        <v>246</v>
      </c>
      <c r="T19" s="4">
        <v>397</v>
      </c>
      <c r="U19" s="4">
        <v>852</v>
      </c>
      <c r="V19" s="4">
        <v>2727</v>
      </c>
      <c r="W19" s="4">
        <v>4469</v>
      </c>
      <c r="X19" s="4">
        <v>3850</v>
      </c>
      <c r="Y19" s="4">
        <v>4611</v>
      </c>
      <c r="Z19" s="4">
        <v>5488</v>
      </c>
      <c r="AA19" s="4">
        <v>6205</v>
      </c>
      <c r="AB19" s="4">
        <v>5469</v>
      </c>
      <c r="AC19" s="4">
        <v>9817</v>
      </c>
      <c r="AD19" s="4">
        <v>9227</v>
      </c>
      <c r="AE19" s="4">
        <v>7119</v>
      </c>
      <c r="AF19" s="4">
        <v>7308</v>
      </c>
      <c r="AG19" s="4">
        <v>9862</v>
      </c>
      <c r="AH19" s="4">
        <v>18904</v>
      </c>
      <c r="AI19" s="4">
        <v>9821</v>
      </c>
      <c r="AJ19" s="4">
        <v>7005</v>
      </c>
      <c r="AK19" s="4">
        <v>8517</v>
      </c>
      <c r="AL19" s="4">
        <v>7357</v>
      </c>
      <c r="AM19" s="4">
        <v>7001</v>
      </c>
      <c r="AN19" s="4">
        <v>8905</v>
      </c>
      <c r="AO19" s="4">
        <v>8595</v>
      </c>
      <c r="AP19" s="4">
        <v>9831</v>
      </c>
      <c r="AQ19" s="4">
        <v>54617</v>
      </c>
      <c r="AR19" s="4">
        <v>8531</v>
      </c>
      <c r="AS19" s="4">
        <v>12142</v>
      </c>
      <c r="AT19" s="4">
        <v>7700</v>
      </c>
      <c r="AU19" s="4">
        <v>6861</v>
      </c>
      <c r="AV19" s="4">
        <v>35733</v>
      </c>
      <c r="AW19" s="4">
        <v>5615</v>
      </c>
      <c r="AX19" s="4">
        <v>28721</v>
      </c>
      <c r="AY19" s="4">
        <v>16156</v>
      </c>
      <c r="AZ19" s="4">
        <v>33006</v>
      </c>
      <c r="BA19" s="4">
        <v>12433</v>
      </c>
      <c r="BB19" s="4">
        <v>18827</v>
      </c>
      <c r="BC19" s="4">
        <v>14757</v>
      </c>
      <c r="BD19" s="4">
        <v>10535</v>
      </c>
      <c r="BE19" s="4">
        <v>32114</v>
      </c>
      <c r="BF19" s="4">
        <v>26967</v>
      </c>
      <c r="BG19" s="4">
        <v>15905</v>
      </c>
      <c r="BH19" s="4">
        <v>39484</v>
      </c>
      <c r="BI19" s="4">
        <v>16907</v>
      </c>
      <c r="BJ19" s="4">
        <v>11379</v>
      </c>
      <c r="BK19" s="4">
        <v>7317</v>
      </c>
      <c r="BL19" s="4">
        <v>9810</v>
      </c>
      <c r="BM19" s="4">
        <v>16579</v>
      </c>
      <c r="BN19" s="4">
        <v>24279</v>
      </c>
      <c r="BO19" s="4">
        <v>63132</v>
      </c>
      <c r="BP19" s="4">
        <v>34676</v>
      </c>
      <c r="BQ19" s="4">
        <v>6786</v>
      </c>
      <c r="BR19" s="4">
        <v>6773</v>
      </c>
      <c r="BS19" s="4">
        <v>8210</v>
      </c>
      <c r="BT19" s="4">
        <v>16050</v>
      </c>
      <c r="BU19" s="4">
        <v>209662</v>
      </c>
      <c r="BV19" s="4">
        <v>275461</v>
      </c>
      <c r="BW19" s="4">
        <v>181792</v>
      </c>
      <c r="BX19" s="4">
        <v>43756</v>
      </c>
      <c r="BY19" s="4">
        <v>13431</v>
      </c>
      <c r="BZ19" s="4">
        <v>30115</v>
      </c>
      <c r="CA19" s="4">
        <v>37257</v>
      </c>
      <c r="CB19" s="4">
        <v>39418</v>
      </c>
      <c r="CC19" s="4">
        <v>103220</v>
      </c>
      <c r="CD19" s="4">
        <v>242184</v>
      </c>
      <c r="CE19" s="4">
        <v>172564</v>
      </c>
      <c r="CF19" s="4">
        <v>9727</v>
      </c>
      <c r="CG19" s="4">
        <v>25265</v>
      </c>
      <c r="CH19" s="4">
        <v>3441</v>
      </c>
      <c r="CI19" s="4">
        <v>99899</v>
      </c>
      <c r="CJ19" s="4">
        <v>2470</v>
      </c>
      <c r="CK19" s="4">
        <v>25692</v>
      </c>
      <c r="CL19" s="4">
        <v>2319</v>
      </c>
      <c r="CM19" s="4">
        <v>1411</v>
      </c>
      <c r="CN19" s="4">
        <v>2371</v>
      </c>
      <c r="CO19" s="4">
        <v>618</v>
      </c>
      <c r="CP19" s="4">
        <v>29932</v>
      </c>
      <c r="CQ19" s="4">
        <v>11290</v>
      </c>
      <c r="CR19" s="4">
        <v>8040</v>
      </c>
      <c r="CS19">
        <f>646</f>
        <v>646</v>
      </c>
      <c r="CT19" s="4">
        <v>659</v>
      </c>
      <c r="CU19" s="4">
        <v>890</v>
      </c>
      <c r="CV19" s="4">
        <v>701</v>
      </c>
      <c r="CW19" s="4">
        <v>32094</v>
      </c>
      <c r="CX19" s="4">
        <v>16905</v>
      </c>
      <c r="CY19" s="4">
        <v>8448</v>
      </c>
      <c r="CZ19" s="4">
        <v>1339</v>
      </c>
      <c r="DA19" s="4">
        <v>2701</v>
      </c>
      <c r="DB19" s="4">
        <v>1774</v>
      </c>
      <c r="DC19">
        <v>956</v>
      </c>
      <c r="DD19" s="4">
        <v>2552</v>
      </c>
      <c r="DE19" s="4">
        <v>9660</v>
      </c>
      <c r="DF19" s="4">
        <v>1474</v>
      </c>
      <c r="DG19" s="4">
        <v>1030</v>
      </c>
      <c r="DH19" s="4">
        <v>16392</v>
      </c>
      <c r="DI19" s="4">
        <v>20646</v>
      </c>
      <c r="DJ19" s="4">
        <v>4215</v>
      </c>
      <c r="DK19" s="4">
        <v>2753</v>
      </c>
      <c r="DL19" s="4">
        <v>763</v>
      </c>
      <c r="DM19" s="4">
        <v>720</v>
      </c>
      <c r="DN19" s="4">
        <v>3518</v>
      </c>
      <c r="DO19" s="4">
        <v>1584</v>
      </c>
      <c r="DP19" s="4">
        <v>1382</v>
      </c>
      <c r="DQ19" s="4">
        <v>6775</v>
      </c>
      <c r="DR19" s="4">
        <v>1420</v>
      </c>
      <c r="DS19" s="4">
        <v>3244</v>
      </c>
      <c r="DT19" s="4">
        <v>4101</v>
      </c>
      <c r="DU19" s="4">
        <v>3747</v>
      </c>
      <c r="DV19" s="4">
        <v>4381</v>
      </c>
      <c r="DW19" s="4">
        <v>1353</v>
      </c>
      <c r="DX19" s="4">
        <v>1207</v>
      </c>
      <c r="DY19" s="4">
        <v>1088</v>
      </c>
      <c r="DZ19" s="4">
        <v>1716</v>
      </c>
      <c r="EA19" s="4">
        <v>13214</v>
      </c>
      <c r="EB19" s="4">
        <v>831</v>
      </c>
      <c r="ED19" s="4">
        <v>1601</v>
      </c>
      <c r="EE19" s="4">
        <v>1145</v>
      </c>
      <c r="EF19" s="4">
        <v>563</v>
      </c>
      <c r="EG19" s="4">
        <v>1275</v>
      </c>
      <c r="EH19" s="4">
        <v>3265</v>
      </c>
      <c r="EI19" s="4">
        <v>1729</v>
      </c>
      <c r="EJ19" s="4">
        <v>291</v>
      </c>
      <c r="EK19" s="4">
        <v>2581</v>
      </c>
      <c r="EL19" s="4">
        <v>3435</v>
      </c>
      <c r="EM19" s="4">
        <v>18851</v>
      </c>
      <c r="EN19" s="4">
        <v>684</v>
      </c>
      <c r="EO19" s="4">
        <v>185668</v>
      </c>
      <c r="EP19" s="4">
        <v>255529</v>
      </c>
      <c r="EQ19" s="4">
        <v>15612</v>
      </c>
      <c r="ER19" s="4">
        <v>1409</v>
      </c>
      <c r="ES19" s="4">
        <v>4526</v>
      </c>
      <c r="ET19" s="4">
        <v>107723</v>
      </c>
      <c r="EU19" s="4">
        <v>1948</v>
      </c>
      <c r="EV19" s="4">
        <v>7480</v>
      </c>
      <c r="EW19" s="4">
        <v>3130</v>
      </c>
      <c r="EX19" s="4">
        <v>7464</v>
      </c>
      <c r="EY19" s="4">
        <v>1885</v>
      </c>
      <c r="EZ19" s="4">
        <v>2618</v>
      </c>
      <c r="FA19" s="4">
        <v>2449</v>
      </c>
    </row>
    <row r="20" spans="1:157" x14ac:dyDescent="0.3">
      <c r="A20" t="s">
        <v>7</v>
      </c>
      <c r="B20" s="4">
        <v>9922</v>
      </c>
      <c r="C20" s="4">
        <v>21224</v>
      </c>
      <c r="D20" s="4">
        <v>14272</v>
      </c>
      <c r="E20" s="4">
        <v>2942</v>
      </c>
      <c r="F20" s="4">
        <v>4781</v>
      </c>
      <c r="G20" s="4">
        <v>7301</v>
      </c>
      <c r="H20" s="4">
        <v>3368</v>
      </c>
      <c r="I20" s="4">
        <v>4462</v>
      </c>
      <c r="J20" s="4">
        <v>4933</v>
      </c>
      <c r="K20" s="4">
        <v>2703</v>
      </c>
      <c r="L20" s="4">
        <v>1911</v>
      </c>
      <c r="M20" s="4">
        <v>1952</v>
      </c>
      <c r="N20" s="4">
        <v>2567</v>
      </c>
      <c r="O20" s="4">
        <v>2866</v>
      </c>
      <c r="P20" s="4">
        <v>2914</v>
      </c>
      <c r="Q20" s="4">
        <v>3693</v>
      </c>
      <c r="R20" s="4">
        <v>3496</v>
      </c>
      <c r="S20" s="4">
        <v>3816</v>
      </c>
      <c r="T20" s="4">
        <v>3514</v>
      </c>
      <c r="U20" s="4">
        <v>3776</v>
      </c>
      <c r="V20" s="4">
        <v>3535</v>
      </c>
      <c r="W20" s="4">
        <v>4279</v>
      </c>
      <c r="X20" s="4">
        <v>1504</v>
      </c>
      <c r="Y20" s="4">
        <v>2045</v>
      </c>
      <c r="Z20" s="4">
        <v>3237</v>
      </c>
      <c r="AA20" s="4">
        <v>3147</v>
      </c>
      <c r="AB20" s="4">
        <v>5155</v>
      </c>
      <c r="AC20" s="4">
        <v>5222</v>
      </c>
      <c r="AD20" s="4">
        <v>4077</v>
      </c>
      <c r="AE20" s="4">
        <v>4001</v>
      </c>
      <c r="AF20" s="4">
        <v>2316</v>
      </c>
      <c r="AG20" s="4">
        <v>3534</v>
      </c>
      <c r="AH20" s="4">
        <v>2400</v>
      </c>
      <c r="AI20" s="4">
        <v>6146</v>
      </c>
      <c r="AJ20" s="4">
        <v>2899</v>
      </c>
      <c r="AK20" s="4">
        <v>7861</v>
      </c>
      <c r="AL20" s="4">
        <v>2972</v>
      </c>
      <c r="AM20" s="4">
        <v>4265</v>
      </c>
      <c r="AN20" s="4">
        <v>3805</v>
      </c>
      <c r="AO20" s="4">
        <v>4240</v>
      </c>
      <c r="AP20" s="4">
        <v>4365</v>
      </c>
      <c r="AQ20" s="4">
        <v>3988</v>
      </c>
      <c r="AR20" s="4">
        <v>3241</v>
      </c>
      <c r="AS20" s="4">
        <v>2577</v>
      </c>
      <c r="AT20" s="4">
        <v>5070</v>
      </c>
      <c r="AU20" s="4">
        <v>2850</v>
      </c>
      <c r="AV20" s="4">
        <v>4242</v>
      </c>
      <c r="AW20" s="4">
        <v>3395</v>
      </c>
      <c r="AX20" s="4">
        <v>3173</v>
      </c>
      <c r="AY20" s="4">
        <v>4325</v>
      </c>
      <c r="AZ20" s="4">
        <v>14760</v>
      </c>
      <c r="BA20" s="4">
        <v>3511</v>
      </c>
      <c r="BB20" s="4">
        <v>4814</v>
      </c>
      <c r="BC20" s="4">
        <v>4358</v>
      </c>
      <c r="BD20" s="4">
        <v>3366</v>
      </c>
      <c r="BE20" s="4">
        <v>5821</v>
      </c>
      <c r="BF20" s="4">
        <v>3948</v>
      </c>
      <c r="BG20" s="4">
        <v>3641</v>
      </c>
      <c r="BH20" s="4">
        <v>12574</v>
      </c>
      <c r="BI20" s="4">
        <v>5305</v>
      </c>
      <c r="BJ20" s="4">
        <v>4322</v>
      </c>
      <c r="BK20" s="4">
        <v>2021</v>
      </c>
      <c r="BL20" s="4">
        <v>1732</v>
      </c>
      <c r="BM20" s="4">
        <v>2108</v>
      </c>
      <c r="BN20" s="4">
        <v>4909</v>
      </c>
      <c r="BO20" s="4">
        <v>3709</v>
      </c>
      <c r="BP20" s="4">
        <v>21954</v>
      </c>
      <c r="BQ20" s="4">
        <v>27702</v>
      </c>
      <c r="BR20" s="4">
        <v>28673</v>
      </c>
      <c r="BS20" s="4">
        <v>29804</v>
      </c>
      <c r="BT20" s="4">
        <v>16312</v>
      </c>
      <c r="BU20" s="4">
        <v>6396</v>
      </c>
      <c r="BV20" s="4">
        <v>26585</v>
      </c>
      <c r="BW20" s="4">
        <v>25950</v>
      </c>
      <c r="BX20" s="4">
        <v>29206.6</v>
      </c>
      <c r="BY20" s="4">
        <v>15954</v>
      </c>
      <c r="BZ20" s="4">
        <v>11024</v>
      </c>
      <c r="CA20" s="4">
        <v>8110</v>
      </c>
      <c r="CB20" s="4">
        <v>4102</v>
      </c>
      <c r="CC20" s="4">
        <v>4228</v>
      </c>
      <c r="CD20" s="4">
        <v>4034</v>
      </c>
      <c r="CE20" s="4">
        <v>4124</v>
      </c>
      <c r="CF20" s="4">
        <v>4887</v>
      </c>
      <c r="CG20" s="4">
        <v>4499</v>
      </c>
      <c r="CH20" s="4">
        <v>4557</v>
      </c>
      <c r="CI20" s="4">
        <v>4712</v>
      </c>
      <c r="CJ20" s="4">
        <v>4597</v>
      </c>
      <c r="CK20" s="4">
        <v>4284</v>
      </c>
      <c r="CL20" s="4">
        <v>4827</v>
      </c>
      <c r="CM20" s="4">
        <v>2657</v>
      </c>
      <c r="CN20" s="4">
        <v>1840</v>
      </c>
      <c r="CO20" s="4">
        <v>2234</v>
      </c>
      <c r="CP20" s="4">
        <v>1736</v>
      </c>
      <c r="CQ20" s="4">
        <v>1681</v>
      </c>
      <c r="CR20" s="4">
        <v>3990</v>
      </c>
      <c r="CS20" s="4">
        <v>4159</v>
      </c>
      <c r="CT20" s="4">
        <v>4251</v>
      </c>
      <c r="CU20" s="4">
        <v>5841</v>
      </c>
      <c r="CV20" s="4">
        <v>10202</v>
      </c>
      <c r="CW20" s="4">
        <v>4547</v>
      </c>
      <c r="CX20" s="4">
        <v>4190</v>
      </c>
      <c r="CY20" s="4">
        <v>5767</v>
      </c>
      <c r="CZ20" s="4">
        <v>4430</v>
      </c>
      <c r="DA20" s="4">
        <v>16707</v>
      </c>
      <c r="DB20" s="4">
        <v>30247</v>
      </c>
      <c r="DC20">
        <v>4164</v>
      </c>
      <c r="DD20" s="4">
        <v>3723</v>
      </c>
      <c r="DE20" s="4">
        <v>5257</v>
      </c>
      <c r="DF20" s="4">
        <v>4686</v>
      </c>
      <c r="DG20" s="4">
        <v>4470</v>
      </c>
      <c r="DH20" s="4">
        <v>6747</v>
      </c>
      <c r="DI20" s="4">
        <v>8484</v>
      </c>
      <c r="DJ20" s="4">
        <v>4150</v>
      </c>
      <c r="DK20" s="4">
        <v>4746</v>
      </c>
      <c r="DL20" s="4">
        <v>4083</v>
      </c>
      <c r="DM20" s="4">
        <v>4343</v>
      </c>
      <c r="DN20" s="4">
        <v>4896</v>
      </c>
      <c r="DO20" s="4">
        <v>3371</v>
      </c>
      <c r="DP20" s="4">
        <v>3112</v>
      </c>
      <c r="DQ20" s="4">
        <v>29757</v>
      </c>
      <c r="DR20" s="4">
        <v>930</v>
      </c>
      <c r="DS20" s="4">
        <v>1607</v>
      </c>
      <c r="DT20" s="4">
        <v>5628</v>
      </c>
      <c r="DU20" s="4">
        <v>5369</v>
      </c>
      <c r="DV20" s="4">
        <v>5114</v>
      </c>
      <c r="DW20" s="4">
        <v>3307</v>
      </c>
      <c r="DX20" s="4">
        <v>2479</v>
      </c>
      <c r="DY20" s="4">
        <v>2601</v>
      </c>
      <c r="DZ20" s="4">
        <v>1988</v>
      </c>
      <c r="EA20" s="4">
        <v>3460</v>
      </c>
      <c r="EB20" s="4">
        <v>3029</v>
      </c>
      <c r="ED20" s="4">
        <v>1705</v>
      </c>
      <c r="EE20" s="4">
        <v>1674</v>
      </c>
      <c r="EF20" s="4">
        <v>1701</v>
      </c>
      <c r="EG20" s="4">
        <v>1868</v>
      </c>
      <c r="EH20" s="4">
        <v>1540</v>
      </c>
      <c r="EI20" s="4">
        <v>1856</v>
      </c>
      <c r="EJ20" s="4">
        <v>1870</v>
      </c>
      <c r="EK20" s="4">
        <v>2191</v>
      </c>
      <c r="EL20" s="4">
        <v>2322</v>
      </c>
      <c r="EM20" s="4">
        <v>5690</v>
      </c>
      <c r="EN20" s="4">
        <v>3214</v>
      </c>
      <c r="EO20" s="4">
        <v>3776</v>
      </c>
      <c r="EP20" s="4">
        <v>4171</v>
      </c>
      <c r="EQ20" s="4">
        <v>2357</v>
      </c>
      <c r="ER20" s="4">
        <v>2323</v>
      </c>
      <c r="ES20" s="4">
        <v>12374</v>
      </c>
      <c r="ET20" s="4">
        <v>2158</v>
      </c>
      <c r="EU20" s="4">
        <v>1591</v>
      </c>
      <c r="EV20" s="4">
        <v>1667</v>
      </c>
      <c r="EW20" s="4">
        <v>1509</v>
      </c>
      <c r="EX20" s="4">
        <v>2056</v>
      </c>
      <c r="EY20" s="4">
        <v>2400</v>
      </c>
      <c r="EZ20" s="4">
        <v>2421</v>
      </c>
      <c r="FA20" s="4">
        <v>3108</v>
      </c>
    </row>
    <row r="21" spans="1:157" x14ac:dyDescent="0.3">
      <c r="A21" t="s">
        <v>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>
        <v>2.5714285714285716</v>
      </c>
      <c r="N21" s="4">
        <v>0</v>
      </c>
      <c r="O21" s="4">
        <v>5.1428571428571432</v>
      </c>
      <c r="P21" s="4">
        <v>0.5714285714285714</v>
      </c>
      <c r="Q21" s="4">
        <v>0</v>
      </c>
      <c r="R21" s="4">
        <v>0</v>
      </c>
      <c r="S21" s="4">
        <v>0</v>
      </c>
      <c r="T21" s="4">
        <v>8.4285714285714288</v>
      </c>
      <c r="U21" s="4">
        <v>0</v>
      </c>
      <c r="V21" s="4">
        <v>3</v>
      </c>
      <c r="W21" s="4">
        <v>3</v>
      </c>
      <c r="X21" s="4">
        <v>2.1428571428571428</v>
      </c>
      <c r="Y21" s="4">
        <v>0</v>
      </c>
      <c r="Z21" s="4">
        <v>0.2857142857142857</v>
      </c>
      <c r="AA21" s="4">
        <v>5.2857142857142856</v>
      </c>
      <c r="AB21" s="4">
        <v>24.571428571428573</v>
      </c>
      <c r="AC21" s="4">
        <v>0.5714285714285714</v>
      </c>
      <c r="AD21" s="4">
        <v>1</v>
      </c>
      <c r="AE21" s="4">
        <v>0</v>
      </c>
      <c r="AF21" s="4">
        <v>0.5714285714285714</v>
      </c>
      <c r="AG21" s="4">
        <v>0.42857142857142855</v>
      </c>
      <c r="AH21" s="4">
        <v>0.5714285714285714</v>
      </c>
      <c r="AI21" s="4">
        <v>3.2857142857142856</v>
      </c>
      <c r="AJ21" s="4">
        <v>1</v>
      </c>
      <c r="AK21" s="4">
        <v>1.8571428571428572</v>
      </c>
      <c r="AL21" s="4">
        <v>3.1428571428571428</v>
      </c>
      <c r="AM21" s="4">
        <v>1.2857142857142858</v>
      </c>
      <c r="AN21" s="4">
        <v>12.714285714285714</v>
      </c>
      <c r="AO21" s="4">
        <v>93</v>
      </c>
      <c r="AP21" s="4">
        <v>949.28571428571433</v>
      </c>
      <c r="AQ21" s="4">
        <v>35052</v>
      </c>
      <c r="AR21" s="4">
        <v>14417.142857142857</v>
      </c>
      <c r="AS21" s="4">
        <v>137.57142857142858</v>
      </c>
      <c r="AT21" s="4">
        <v>375.14285714285717</v>
      </c>
      <c r="AU21" s="4">
        <v>598.42857142857144</v>
      </c>
      <c r="AV21" s="4">
        <v>33991.285714285717</v>
      </c>
      <c r="AW21" s="4">
        <v>30557.857142857141</v>
      </c>
      <c r="AX21" s="4">
        <v>44840.714285714283</v>
      </c>
      <c r="AY21" s="4">
        <v>80866.571428571435</v>
      </c>
      <c r="AZ21" s="4"/>
      <c r="BA21" s="4"/>
      <c r="BB21" s="4">
        <v>2960</v>
      </c>
      <c r="BC21" s="4">
        <v>620</v>
      </c>
      <c r="BD21" s="4">
        <v>10</v>
      </c>
      <c r="BE21" s="4">
        <v>140</v>
      </c>
      <c r="BF21" s="4">
        <v>1483</v>
      </c>
      <c r="BG21" s="4">
        <v>5113</v>
      </c>
      <c r="BH21" s="4">
        <f>2742+128884</f>
        <v>131626</v>
      </c>
      <c r="BI21" s="4">
        <f>976+102182</f>
        <v>103158</v>
      </c>
      <c r="BJ21" s="4">
        <f>884+40535</f>
        <v>41419</v>
      </c>
      <c r="BK21" s="4">
        <f>2791+130143</f>
        <v>132934</v>
      </c>
      <c r="BL21" s="4">
        <f>304+120287</f>
        <v>120591</v>
      </c>
      <c r="BM21" s="4">
        <f>120+94310</f>
        <v>94430</v>
      </c>
      <c r="BN21">
        <f>304+97818</f>
        <v>98122</v>
      </c>
      <c r="BO21">
        <f>1423+40946</f>
        <v>42369</v>
      </c>
      <c r="BP21" s="4">
        <v>115091</v>
      </c>
      <c r="BQ21" s="4">
        <v>104300</v>
      </c>
      <c r="BR21" s="4">
        <v>117151</v>
      </c>
      <c r="BS21" s="4">
        <v>102503</v>
      </c>
      <c r="BT21" s="4">
        <f>140112+1876</f>
        <v>141988</v>
      </c>
      <c r="BU21" s="4">
        <v>133895</v>
      </c>
      <c r="BV21" s="4">
        <v>123916</v>
      </c>
      <c r="BW21" s="4">
        <v>112136</v>
      </c>
      <c r="BX21" s="4">
        <f>106899+495</f>
        <v>107394</v>
      </c>
      <c r="BY21" s="4">
        <f>90692+737</f>
        <v>91429</v>
      </c>
      <c r="BZ21" s="4">
        <f>11024+119229</f>
        <v>130253</v>
      </c>
      <c r="CA21" s="4">
        <f>4342+77987</f>
        <v>82329</v>
      </c>
      <c r="CB21" s="4">
        <f>91105+10795</f>
        <v>101900</v>
      </c>
      <c r="CC21" s="4">
        <f>4997+106863</f>
        <v>111860</v>
      </c>
      <c r="CD21" s="4">
        <f>2438+86913</f>
        <v>89351</v>
      </c>
      <c r="CE21" s="4">
        <f>4124+75235</f>
        <v>79359</v>
      </c>
      <c r="CF21" s="4">
        <f>349+62304</f>
        <v>62653</v>
      </c>
      <c r="CG21" s="4">
        <v>66237</v>
      </c>
      <c r="CH21" s="4">
        <v>50243</v>
      </c>
      <c r="CI21" s="4">
        <f>188+85728</f>
        <v>85916</v>
      </c>
      <c r="CJ21" s="4">
        <f>406+198399</f>
        <v>198805</v>
      </c>
      <c r="CK21" s="4">
        <f>8951+177088</f>
        <v>186039</v>
      </c>
      <c r="CL21" s="4">
        <f>54233+181013</f>
        <v>235246</v>
      </c>
      <c r="CM21" s="4">
        <f>45914+154744</f>
        <v>200658</v>
      </c>
      <c r="CN21" s="4">
        <f>38498+138127</f>
        <v>176625</v>
      </c>
      <c r="CO21" s="4">
        <f>57390+120690</f>
        <v>178080</v>
      </c>
      <c r="CP21" s="4">
        <f>41728+123612</f>
        <v>165340</v>
      </c>
      <c r="CQ21" s="4">
        <f>29013+98984</f>
        <v>127997</v>
      </c>
      <c r="CR21" s="4">
        <f>4737+115483</f>
        <v>120220</v>
      </c>
      <c r="CS21" s="4">
        <f>9763+12115</f>
        <v>21878</v>
      </c>
      <c r="CT21">
        <f>533+354</f>
        <v>887</v>
      </c>
      <c r="CU21">
        <f>18+79883</f>
        <v>79901</v>
      </c>
      <c r="CV21">
        <f>58+103290</f>
        <v>103348</v>
      </c>
      <c r="CW21" s="4">
        <v>82678</v>
      </c>
      <c r="CX21" s="4">
        <v>217</v>
      </c>
      <c r="CY21">
        <v>85</v>
      </c>
      <c r="CZ21" s="4">
        <v>104</v>
      </c>
      <c r="DA21">
        <v>199</v>
      </c>
      <c r="DB21">
        <v>16641</v>
      </c>
      <c r="DC21">
        <v>160</v>
      </c>
      <c r="DD21">
        <v>112</v>
      </c>
      <c r="DE21">
        <v>1368</v>
      </c>
      <c r="DF21">
        <v>2032</v>
      </c>
      <c r="DG21">
        <v>113</v>
      </c>
      <c r="DH21">
        <v>907</v>
      </c>
      <c r="DI21">
        <v>460</v>
      </c>
      <c r="DJ21">
        <v>1269</v>
      </c>
      <c r="DK21">
        <v>148</v>
      </c>
      <c r="DL21" s="4">
        <v>176</v>
      </c>
      <c r="DM21" s="4">
        <v>4213</v>
      </c>
      <c r="DN21" s="4">
        <v>8278</v>
      </c>
      <c r="DO21" s="4">
        <v>6146</v>
      </c>
      <c r="DP21" s="4">
        <v>8407</v>
      </c>
      <c r="DQ21" s="4">
        <f>391+102147</f>
        <v>102538</v>
      </c>
      <c r="DR21" s="4">
        <v>11846</v>
      </c>
      <c r="DS21" s="4">
        <v>16169</v>
      </c>
      <c r="DT21" s="4">
        <v>27876</v>
      </c>
      <c r="DU21" s="4">
        <v>12395</v>
      </c>
      <c r="DV21" s="4">
        <v>2480</v>
      </c>
      <c r="DW21" s="4">
        <v>1321</v>
      </c>
      <c r="DX21" s="4">
        <v>162</v>
      </c>
      <c r="DY21" s="4">
        <v>664</v>
      </c>
      <c r="DZ21" s="4">
        <v>519</v>
      </c>
      <c r="EA21" s="4">
        <v>289</v>
      </c>
      <c r="EB21" s="4">
        <v>179</v>
      </c>
      <c r="ED21" s="4">
        <v>2053</v>
      </c>
      <c r="EE21">
        <v>1171</v>
      </c>
      <c r="EF21" s="4">
        <v>219</v>
      </c>
      <c r="EG21">
        <v>1212</v>
      </c>
      <c r="EH21" s="4">
        <v>1361</v>
      </c>
      <c r="EI21">
        <v>2230</v>
      </c>
      <c r="EJ21" s="4">
        <v>329</v>
      </c>
      <c r="EK21">
        <v>1763</v>
      </c>
      <c r="EL21" s="4">
        <v>2139</v>
      </c>
      <c r="EM21">
        <v>158</v>
      </c>
      <c r="EN21" s="4">
        <v>285</v>
      </c>
      <c r="EO21">
        <v>586</v>
      </c>
      <c r="EP21" s="4">
        <v>639</v>
      </c>
      <c r="EQ21">
        <v>2778</v>
      </c>
      <c r="ER21" s="4">
        <v>494</v>
      </c>
      <c r="ES21">
        <v>377</v>
      </c>
      <c r="ET21" s="4">
        <v>329</v>
      </c>
      <c r="EU21">
        <v>549</v>
      </c>
      <c r="EV21" s="4">
        <v>509</v>
      </c>
      <c r="EW21">
        <v>1110</v>
      </c>
      <c r="EX21" s="4">
        <v>33157</v>
      </c>
      <c r="EY21">
        <v>14503</v>
      </c>
      <c r="EZ21" s="4">
        <v>1516</v>
      </c>
      <c r="FA21">
        <v>1647</v>
      </c>
    </row>
    <row r="22" spans="1:157" x14ac:dyDescent="0.3">
      <c r="A22" t="s">
        <v>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>
        <v>0.2857142857142857</v>
      </c>
      <c r="N22" s="4">
        <v>0</v>
      </c>
      <c r="O22" s="4">
        <v>0.7142857142857143</v>
      </c>
      <c r="P22" s="4">
        <v>0.14285714285714285</v>
      </c>
      <c r="Q22" s="4">
        <v>0</v>
      </c>
      <c r="R22" s="4">
        <v>0</v>
      </c>
      <c r="S22" s="4">
        <v>0</v>
      </c>
      <c r="T22" s="4">
        <v>1.7142857142857142</v>
      </c>
      <c r="U22" s="4">
        <v>0</v>
      </c>
      <c r="V22" s="4">
        <v>0.5714285714285714</v>
      </c>
      <c r="W22" s="4">
        <v>0.5714285714285714</v>
      </c>
      <c r="X22" s="4">
        <v>0</v>
      </c>
      <c r="Y22" s="4">
        <v>0</v>
      </c>
      <c r="Z22" s="4">
        <v>0</v>
      </c>
      <c r="AA22" s="4">
        <v>1.4285714285714286</v>
      </c>
      <c r="AB22" s="4">
        <v>3.8571428571428572</v>
      </c>
      <c r="AC22" s="4">
        <v>0</v>
      </c>
      <c r="AD22" s="4">
        <v>2.5714285714285716</v>
      </c>
      <c r="AE22" s="4">
        <v>0</v>
      </c>
      <c r="AF22" s="4">
        <v>0.14285714285714285</v>
      </c>
      <c r="AG22" s="4">
        <v>0.2857142857142857</v>
      </c>
      <c r="AH22" s="4">
        <v>0</v>
      </c>
      <c r="AI22" s="4">
        <v>0.5714285714285714</v>
      </c>
      <c r="AJ22" s="4">
        <v>0</v>
      </c>
      <c r="AK22" s="4">
        <v>0</v>
      </c>
      <c r="AL22" s="4">
        <v>0</v>
      </c>
      <c r="AM22" s="4">
        <v>0.14285714285714285</v>
      </c>
      <c r="AN22" s="4">
        <v>0</v>
      </c>
      <c r="AO22" s="4">
        <v>0</v>
      </c>
      <c r="AP22" s="4">
        <v>0</v>
      </c>
      <c r="AQ22" s="4">
        <v>0.14285714285714285</v>
      </c>
      <c r="AR22" s="4">
        <v>0.5714285714285714</v>
      </c>
      <c r="AS22" s="4">
        <v>0</v>
      </c>
      <c r="AT22" s="4">
        <v>0.5714285714285714</v>
      </c>
      <c r="AU22" s="4">
        <v>4.2857142857142856</v>
      </c>
      <c r="AV22" s="4">
        <v>0.5714285714285714</v>
      </c>
      <c r="AW22" s="4">
        <v>2.7142857142857144</v>
      </c>
      <c r="AX22" s="4">
        <v>0</v>
      </c>
      <c r="AY22" s="4">
        <v>0</v>
      </c>
      <c r="AZ22" s="4"/>
      <c r="BA22" s="4"/>
      <c r="BB22" s="4"/>
      <c r="BC22" s="4"/>
      <c r="BD22" s="4"/>
      <c r="BE22" s="4"/>
      <c r="BF22" s="4"/>
      <c r="BG22" s="4"/>
      <c r="BH22" s="4"/>
      <c r="BI22" s="4">
        <f>8</f>
        <v>8</v>
      </c>
      <c r="BJ22" s="4">
        <v>13.71</v>
      </c>
      <c r="BK22" s="4">
        <v>8.57</v>
      </c>
      <c r="BL22" s="4">
        <v>10.14</v>
      </c>
      <c r="BM22" s="4">
        <v>6</v>
      </c>
      <c r="BN22" s="4">
        <v>10</v>
      </c>
      <c r="BO22" s="4">
        <v>30</v>
      </c>
      <c r="BP22" s="4">
        <v>14</v>
      </c>
      <c r="BQ22" s="4">
        <v>11</v>
      </c>
      <c r="BR22" s="4">
        <v>12</v>
      </c>
      <c r="BS22" s="4">
        <v>24</v>
      </c>
      <c r="BT22" s="4">
        <v>16</v>
      </c>
      <c r="BU22" s="4">
        <v>15</v>
      </c>
      <c r="BV22" s="4">
        <v>27</v>
      </c>
      <c r="BW22" s="4">
        <v>12</v>
      </c>
      <c r="BX22" s="4">
        <v>12</v>
      </c>
      <c r="BY22" s="4">
        <v>14</v>
      </c>
      <c r="BZ22" s="4">
        <v>15</v>
      </c>
      <c r="CA22" s="4">
        <v>7</v>
      </c>
      <c r="CB22" s="4">
        <v>8</v>
      </c>
      <c r="CC22" s="4">
        <v>9</v>
      </c>
      <c r="CD22" s="4">
        <v>8</v>
      </c>
      <c r="CE22" s="4">
        <v>729</v>
      </c>
      <c r="CF22" s="4">
        <v>9.57</v>
      </c>
      <c r="CG22" s="4">
        <v>8</v>
      </c>
      <c r="CH22" s="4">
        <v>9</v>
      </c>
      <c r="CI22" s="4">
        <v>7</v>
      </c>
      <c r="CJ22" s="4">
        <v>9</v>
      </c>
      <c r="CK22" s="4">
        <v>8</v>
      </c>
      <c r="CL22" s="4">
        <v>6</v>
      </c>
      <c r="CM22" s="4">
        <v>7</v>
      </c>
      <c r="CN22" s="4">
        <v>8</v>
      </c>
      <c r="CO22" s="4">
        <v>7</v>
      </c>
      <c r="CP22" s="4">
        <v>325</v>
      </c>
      <c r="CQ22" s="4">
        <v>7</v>
      </c>
      <c r="CR22">
        <f>6</f>
        <v>6</v>
      </c>
      <c r="CS22" s="4">
        <v>3</v>
      </c>
      <c r="CT22" s="4">
        <v>316</v>
      </c>
      <c r="CU22" s="4">
        <v>1</v>
      </c>
      <c r="CV22" s="4">
        <v>0</v>
      </c>
      <c r="CW22" s="4">
        <v>1</v>
      </c>
      <c r="CX22" s="4">
        <v>1</v>
      </c>
      <c r="CY22" s="4">
        <v>2</v>
      </c>
      <c r="CZ22" s="4">
        <v>7</v>
      </c>
      <c r="DA22" s="4">
        <v>7</v>
      </c>
      <c r="DB22" s="4">
        <v>5</v>
      </c>
      <c r="DC22">
        <v>8</v>
      </c>
      <c r="DD22" s="4">
        <v>9</v>
      </c>
      <c r="DE22" s="4">
        <v>31</v>
      </c>
      <c r="DF22" s="4">
        <v>12</v>
      </c>
      <c r="DG22" s="4">
        <v>6</v>
      </c>
      <c r="DH22" s="4">
        <v>18</v>
      </c>
      <c r="DI22" s="4">
        <v>11</v>
      </c>
      <c r="DJ22" s="4">
        <v>28</v>
      </c>
      <c r="DK22" s="4">
        <v>7</v>
      </c>
      <c r="DL22" s="4">
        <v>7</v>
      </c>
      <c r="DM22" s="4">
        <v>7</v>
      </c>
      <c r="DN22" s="4">
        <v>9</v>
      </c>
      <c r="DO22" s="4">
        <v>10</v>
      </c>
      <c r="DP22" s="4">
        <v>11</v>
      </c>
      <c r="DQ22" s="4">
        <v>12</v>
      </c>
      <c r="DR22" s="4">
        <v>9</v>
      </c>
      <c r="DS22" s="4">
        <v>42</v>
      </c>
      <c r="DT22" s="4">
        <v>9</v>
      </c>
      <c r="DU22" s="4">
        <v>11</v>
      </c>
      <c r="DV22" s="4">
        <v>8</v>
      </c>
      <c r="DW22" s="4">
        <v>9</v>
      </c>
      <c r="DX22" s="4">
        <v>8</v>
      </c>
      <c r="DY22" s="4">
        <v>18</v>
      </c>
      <c r="DZ22" s="4">
        <v>14</v>
      </c>
      <c r="EA22" s="4">
        <v>10</v>
      </c>
      <c r="EB22" s="4">
        <v>7</v>
      </c>
      <c r="ED22" s="4">
        <v>60</v>
      </c>
      <c r="EE22" s="4">
        <v>46</v>
      </c>
      <c r="EF22" s="4">
        <v>8</v>
      </c>
      <c r="EG22" s="4">
        <v>14</v>
      </c>
      <c r="EH22" s="4">
        <v>17</v>
      </c>
      <c r="EI22" s="4">
        <v>25</v>
      </c>
      <c r="EJ22" s="4">
        <v>21</v>
      </c>
      <c r="EK22" s="4">
        <v>17</v>
      </c>
      <c r="EL22" s="4">
        <v>42</v>
      </c>
      <c r="EM22" s="4">
        <v>7</v>
      </c>
      <c r="EN22" s="4">
        <v>9</v>
      </c>
      <c r="EO22" s="4">
        <v>26</v>
      </c>
      <c r="EP22" s="4">
        <v>20</v>
      </c>
      <c r="EQ22" s="4">
        <v>47</v>
      </c>
      <c r="ER22" s="4">
        <v>16</v>
      </c>
      <c r="ES22" s="4">
        <v>15</v>
      </c>
      <c r="ET22" s="4">
        <v>15</v>
      </c>
      <c r="EU22" s="4">
        <v>16</v>
      </c>
      <c r="EV22" s="4">
        <v>18</v>
      </c>
      <c r="EW22" s="4">
        <v>18</v>
      </c>
      <c r="EX22" s="4">
        <v>4</v>
      </c>
      <c r="EY22" s="4">
        <v>5</v>
      </c>
      <c r="EZ22" s="4">
        <v>11</v>
      </c>
      <c r="FA22" s="4">
        <v>15</v>
      </c>
    </row>
    <row r="23" spans="1:157" x14ac:dyDescent="0.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BX23" s="4"/>
      <c r="BY23" s="4"/>
      <c r="BZ23" s="4"/>
      <c r="CA23" s="4"/>
      <c r="CB23" s="4"/>
      <c r="CC23" s="4"/>
      <c r="CD23" s="4"/>
      <c r="CE23" s="4"/>
      <c r="CF23" s="4"/>
      <c r="CI23" s="4"/>
      <c r="CJ23" s="4"/>
      <c r="CK23" s="4"/>
      <c r="CL23" s="4"/>
      <c r="CM23" s="4"/>
      <c r="CN23" s="4"/>
      <c r="CO23" s="4"/>
      <c r="DL23" s="4"/>
      <c r="DM23" s="4"/>
      <c r="DN23" s="4"/>
      <c r="DO23" s="4"/>
    </row>
    <row r="24" spans="1:157" x14ac:dyDescent="0.3">
      <c r="A24" s="5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BX24" s="4"/>
      <c r="BY24" s="4"/>
      <c r="BZ24" s="4"/>
      <c r="CA24" s="4"/>
      <c r="CB24" s="4"/>
      <c r="CC24" s="4"/>
      <c r="CD24" s="4"/>
      <c r="CE24" s="4"/>
      <c r="CF24" s="4"/>
      <c r="CI24" s="4"/>
      <c r="CJ24" s="4"/>
      <c r="CK24" s="4"/>
      <c r="CL24" s="4"/>
      <c r="CM24" s="4"/>
      <c r="CN24" s="4"/>
      <c r="CO24" s="4"/>
      <c r="DL24" s="4"/>
      <c r="DM24" s="4"/>
      <c r="DN24" s="4"/>
      <c r="DO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</row>
    <row r="25" spans="1:157" x14ac:dyDescent="0.3">
      <c r="A25" t="s">
        <v>4</v>
      </c>
      <c r="B25" s="4"/>
      <c r="C25" s="4"/>
      <c r="D25" s="4"/>
      <c r="E25" s="4"/>
      <c r="F25" s="4"/>
      <c r="G25" s="4"/>
      <c r="H25" s="4"/>
      <c r="I25">
        <v>104</v>
      </c>
      <c r="J25">
        <v>93</v>
      </c>
      <c r="K25">
        <v>96</v>
      </c>
      <c r="L25">
        <v>63</v>
      </c>
      <c r="M25" s="4">
        <v>60.571428571428569</v>
      </c>
      <c r="N25" s="4">
        <f>541/7</f>
        <v>77.285714285714292</v>
      </c>
      <c r="O25" s="4">
        <f>457/7</f>
        <v>65.285714285714292</v>
      </c>
      <c r="P25" s="4">
        <f>527/7</f>
        <v>75.285714285714292</v>
      </c>
      <c r="Q25" s="4">
        <f>589/7</f>
        <v>84.142857142857139</v>
      </c>
      <c r="R25" s="4">
        <f>571/7</f>
        <v>81.571428571428569</v>
      </c>
      <c r="S25" s="4">
        <f>599/7</f>
        <v>85.571428571428569</v>
      </c>
      <c r="T25" s="4">
        <f>506/7</f>
        <v>72.285714285714292</v>
      </c>
      <c r="U25" s="6">
        <f>1537/7</f>
        <v>219.57142857142858</v>
      </c>
      <c r="V25" s="6">
        <f>529/7</f>
        <v>75.571428571428569</v>
      </c>
      <c r="W25" s="6">
        <f>2545/7</f>
        <v>363.57142857142856</v>
      </c>
      <c r="X25" s="6">
        <f>1504/7</f>
        <v>214.85714285714286</v>
      </c>
      <c r="Y25" s="6">
        <f>681/7</f>
        <v>97.285714285714292</v>
      </c>
      <c r="Z25" s="6">
        <f>4187/7</f>
        <v>598.14285714285711</v>
      </c>
      <c r="AA25" s="6">
        <f>638/7</f>
        <v>91.142857142857139</v>
      </c>
      <c r="AB25" s="6">
        <f>453/7</f>
        <v>64.714285714285708</v>
      </c>
      <c r="AC25">
        <v>78</v>
      </c>
      <c r="AD25">
        <v>72</v>
      </c>
      <c r="AE25">
        <v>69</v>
      </c>
      <c r="AF25">
        <v>65</v>
      </c>
      <c r="AG25">
        <v>68</v>
      </c>
      <c r="AH25">
        <v>60</v>
      </c>
      <c r="AI25">
        <v>112</v>
      </c>
      <c r="AJ25">
        <v>58</v>
      </c>
      <c r="AK25">
        <v>168</v>
      </c>
      <c r="AL25" s="6">
        <f>461/7</f>
        <v>65.857142857142861</v>
      </c>
      <c r="AM25" s="6">
        <f>475/7</f>
        <v>67.857142857142861</v>
      </c>
      <c r="AN25" s="6">
        <f>476/7</f>
        <v>68</v>
      </c>
      <c r="AO25" s="6">
        <f>446/7</f>
        <v>63.714285714285715</v>
      </c>
      <c r="AP25" s="6">
        <f>1300/7</f>
        <v>185.71428571428572</v>
      </c>
      <c r="AQ25" s="6">
        <f>466/7</f>
        <v>66.571428571428569</v>
      </c>
      <c r="AR25" s="6">
        <f>1417/7</f>
        <v>202.42857142857142</v>
      </c>
      <c r="AS25" s="6">
        <f>358/7</f>
        <v>51.142857142857146</v>
      </c>
      <c r="AT25" s="6">
        <f>584/7</f>
        <v>83.428571428571431</v>
      </c>
      <c r="AU25" s="6">
        <f>384/7</f>
        <v>54.857142857142854</v>
      </c>
      <c r="AV25" s="6">
        <f>334/7</f>
        <v>47.714285714285715</v>
      </c>
      <c r="AW25" s="6">
        <f>365/7</f>
        <v>52.142857142857146</v>
      </c>
      <c r="AX25" s="6">
        <f>380/7</f>
        <v>54.285714285714285</v>
      </c>
      <c r="AY25" s="6">
        <v>73</v>
      </c>
      <c r="AZ25" s="6">
        <f>1479/7</f>
        <v>211.28571428571428</v>
      </c>
      <c r="BA25" s="6">
        <f>454/7</f>
        <v>64.857142857142861</v>
      </c>
      <c r="BB25" s="6">
        <f>563/7</f>
        <v>80.428571428571431</v>
      </c>
      <c r="BC25" s="6">
        <f>623/7</f>
        <v>89</v>
      </c>
      <c r="BD25" s="6">
        <f>482/7</f>
        <v>68.857142857142861</v>
      </c>
      <c r="BE25" s="6">
        <f>664/7</f>
        <v>94.857142857142861</v>
      </c>
      <c r="BF25" s="6">
        <f>702/7</f>
        <v>100.28571428571429</v>
      </c>
      <c r="BG25" s="6">
        <f>617/7</f>
        <v>88.142857142857139</v>
      </c>
      <c r="BH25" s="6">
        <f>585/7</f>
        <v>83.571428571428569</v>
      </c>
      <c r="BI25" s="6">
        <f>827/7</f>
        <v>118.14285714285714</v>
      </c>
      <c r="BJ25" s="4">
        <v>85</v>
      </c>
      <c r="BK25" s="4">
        <f>388/7</f>
        <v>55.428571428571431</v>
      </c>
      <c r="BL25" s="4">
        <f>360/7</f>
        <v>51.428571428571431</v>
      </c>
      <c r="BM25" s="4">
        <f>513/7</f>
        <v>73.285714285714292</v>
      </c>
      <c r="BN25" s="4">
        <f>588/7</f>
        <v>84</v>
      </c>
      <c r="BO25" s="4">
        <f>1434/7</f>
        <v>204.85714285714286</v>
      </c>
      <c r="BP25" s="4">
        <f>384/8</f>
        <v>48</v>
      </c>
      <c r="BQ25" s="4">
        <f>681/7</f>
        <v>97.285714285714292</v>
      </c>
      <c r="BR25" s="4">
        <f>401/7</f>
        <v>57.285714285714285</v>
      </c>
      <c r="BS25" s="4">
        <f>376/7</f>
        <v>53.714285714285715</v>
      </c>
      <c r="BT25" s="4">
        <f>522/7</f>
        <v>74.571428571428569</v>
      </c>
      <c r="BU25" s="4">
        <f>1858/7</f>
        <v>265.42857142857144</v>
      </c>
      <c r="BV25" s="6">
        <f>1033/7</f>
        <v>147.57142857142858</v>
      </c>
      <c r="BW25" s="6">
        <f>2338/7</f>
        <v>334</v>
      </c>
      <c r="BX25" s="4">
        <f>122945/7</f>
        <v>17563.571428571428</v>
      </c>
      <c r="BY25" s="4">
        <f>884/7</f>
        <v>126.28571428571429</v>
      </c>
      <c r="BZ25" s="4">
        <f>32431/7</f>
        <v>4633</v>
      </c>
      <c r="CA25" s="4">
        <f>641/7</f>
        <v>91.571428571428569</v>
      </c>
      <c r="CB25" s="4">
        <f>529/7</f>
        <v>75.571428571428569</v>
      </c>
      <c r="CC25" s="4">
        <f>499/7</f>
        <v>71.285714285714292</v>
      </c>
      <c r="CD25" s="4">
        <f>23758/7</f>
        <v>3394</v>
      </c>
      <c r="CE25" s="4">
        <f>89942/7</f>
        <v>12848.857142857143</v>
      </c>
      <c r="CF25" s="4">
        <f>599/7</f>
        <v>85.571428571428569</v>
      </c>
      <c r="CG25" s="6">
        <f>576/7</f>
        <v>82.285714285714292</v>
      </c>
      <c r="CH25" s="6">
        <f>661/7</f>
        <v>94.428571428571431</v>
      </c>
      <c r="CI25" s="4">
        <f>659/7</f>
        <v>94.142857142857139</v>
      </c>
      <c r="CJ25" s="4">
        <f>1048/7</f>
        <v>149.71428571428572</v>
      </c>
      <c r="CK25" s="4">
        <f>519/7</f>
        <v>74.142857142857139</v>
      </c>
      <c r="CL25" s="4">
        <f>850/7</f>
        <v>121.42857142857143</v>
      </c>
      <c r="CM25" s="4">
        <f>1480/7</f>
        <v>211.42857142857142</v>
      </c>
      <c r="CN25" s="4">
        <v>289</v>
      </c>
      <c r="CO25" s="4">
        <f>24173/7</f>
        <v>3453.2857142857142</v>
      </c>
      <c r="CP25" s="4">
        <f>340/7</f>
        <v>48.571428571428569</v>
      </c>
      <c r="CQ25" s="4">
        <f>22809/7</f>
        <v>3258.4285714285716</v>
      </c>
      <c r="CR25" s="4">
        <f>722/7</f>
        <v>103.14285714285714</v>
      </c>
      <c r="CS25" s="4">
        <f>507/7</f>
        <v>72.428571428571431</v>
      </c>
      <c r="CT25" s="4">
        <f>530/7</f>
        <v>75.714285714285708</v>
      </c>
      <c r="CU25" s="4">
        <f>706/7</f>
        <v>100.85714285714286</v>
      </c>
      <c r="CV25" s="4">
        <f>22175/7</f>
        <v>3167.8571428571427</v>
      </c>
      <c r="CW25" s="4">
        <f>1277/7</f>
        <v>182.42857142857142</v>
      </c>
      <c r="CX25" s="4">
        <f>686/7</f>
        <v>98</v>
      </c>
      <c r="CY25" s="4">
        <f>633/7</f>
        <v>90.428571428571431</v>
      </c>
      <c r="CZ25" s="4">
        <f>894/7</f>
        <v>127.71428571428571</v>
      </c>
      <c r="DA25" s="4">
        <f>647/7</f>
        <v>92.428571428571431</v>
      </c>
      <c r="DB25" s="4">
        <f>44811/7</f>
        <v>6401.5714285714284</v>
      </c>
      <c r="DC25" s="4">
        <f>39292/7</f>
        <v>5613.1428571428569</v>
      </c>
      <c r="DD25" s="4">
        <f>30743/7</f>
        <v>4391.8571428571431</v>
      </c>
      <c r="DE25" s="4">
        <f>556/7</f>
        <v>79.428571428571431</v>
      </c>
      <c r="DF25" s="4">
        <f>512/7</f>
        <v>73.142857142857139</v>
      </c>
      <c r="DG25" s="4">
        <f>543/7</f>
        <v>77.571428571428569</v>
      </c>
      <c r="DH25" s="4">
        <f>889/7</f>
        <v>127</v>
      </c>
      <c r="DI25" s="4">
        <f>1093/7</f>
        <v>156.14285714285714</v>
      </c>
      <c r="DJ25" s="4">
        <f>670/7</f>
        <v>95.714285714285708</v>
      </c>
      <c r="DK25" s="4">
        <f>25922/7</f>
        <v>3703.1428571428573</v>
      </c>
      <c r="DL25" s="4">
        <f>658663/7</f>
        <v>94094.71428571429</v>
      </c>
      <c r="DM25" s="4">
        <f>532/7</f>
        <v>76</v>
      </c>
      <c r="DN25" s="4">
        <f>209111/7</f>
        <v>29873</v>
      </c>
      <c r="DO25" s="4">
        <f>3115139/7</f>
        <v>445019.85714285716</v>
      </c>
      <c r="DP25" s="6">
        <f>1437102/7</f>
        <v>205300.28571428571</v>
      </c>
      <c r="DQ25" s="6">
        <f>663962/7</f>
        <v>94851.71428571429</v>
      </c>
      <c r="DR25" s="6">
        <f>5593195/7</f>
        <v>799027.85714285716</v>
      </c>
      <c r="DS25" s="6">
        <f>127131/7</f>
        <v>18161.571428571428</v>
      </c>
      <c r="DT25" s="6">
        <f>276526/7</f>
        <v>39503.714285714283</v>
      </c>
      <c r="DU25" s="6">
        <f>213007/7</f>
        <v>30429.571428571428</v>
      </c>
      <c r="DV25" s="6">
        <f>89243/7</f>
        <v>12749</v>
      </c>
      <c r="DW25" s="6">
        <f>113253/7</f>
        <v>16179</v>
      </c>
      <c r="DX25" s="6">
        <f>1437102/7</f>
        <v>205300.28571428571</v>
      </c>
      <c r="DY25" s="6">
        <v>11</v>
      </c>
      <c r="DZ25" s="6">
        <v>13</v>
      </c>
      <c r="EA25" s="6">
        <f>94/7</f>
        <v>13.428571428571429</v>
      </c>
      <c r="EB25" s="6">
        <f>52/7</f>
        <v>7.4285714285714288</v>
      </c>
      <c r="EC25" s="6">
        <f>94/7</f>
        <v>13.428571428571429</v>
      </c>
      <c r="ED25" s="6">
        <f>419/7</f>
        <v>59.857142857142854</v>
      </c>
      <c r="EE25" s="4">
        <f>58425/7</f>
        <v>8346.4285714285706</v>
      </c>
      <c r="EF25" s="4">
        <f>580/7</f>
        <v>82.857142857142861</v>
      </c>
      <c r="EG25" s="4"/>
      <c r="EH25" s="6">
        <f>294/7</f>
        <v>42</v>
      </c>
      <c r="EI25" s="6">
        <f>1452/7</f>
        <v>207.42857142857142</v>
      </c>
      <c r="EJ25" s="4">
        <f>233/7</f>
        <v>33.285714285714285</v>
      </c>
      <c r="EK25" s="4">
        <f>230534/7</f>
        <v>32933.428571428572</v>
      </c>
      <c r="EL25" s="4">
        <f>120832/7</f>
        <v>17261.714285714286</v>
      </c>
      <c r="EM25" s="4">
        <f>2201650/7</f>
        <v>314521.42857142858</v>
      </c>
      <c r="EN25" s="4">
        <f>495/7</f>
        <v>70.714285714285708</v>
      </c>
      <c r="EO25" s="4">
        <f>8301/7</f>
        <v>1185.8571428571429</v>
      </c>
      <c r="EP25" s="4">
        <f>63522/7</f>
        <v>9074.5714285714294</v>
      </c>
      <c r="EQ25" s="4">
        <f>352/7</f>
        <v>50.285714285714285</v>
      </c>
      <c r="ER25" s="4">
        <f>261/7</f>
        <v>37.285714285714285</v>
      </c>
      <c r="ES25" s="4">
        <f>268/7</f>
        <v>38.285714285714285</v>
      </c>
      <c r="ET25" s="4">
        <f>400/7</f>
        <v>57.142857142857146</v>
      </c>
      <c r="EU25" s="4">
        <f>280/7</f>
        <v>40</v>
      </c>
      <c r="EV25" s="4">
        <f>260/7</f>
        <v>37.142857142857146</v>
      </c>
      <c r="EW25" s="4">
        <f>302/7</f>
        <v>43.142857142857146</v>
      </c>
      <c r="EX25" s="6">
        <f>377/7</f>
        <v>53.857142857142854</v>
      </c>
      <c r="EY25" s="6">
        <f>264/7</f>
        <v>37.714285714285715</v>
      </c>
      <c r="EZ25" s="6">
        <f>345/7</f>
        <v>49.285714285714285</v>
      </c>
    </row>
    <row r="26" spans="1:157" x14ac:dyDescent="0.3">
      <c r="A26" t="s">
        <v>10</v>
      </c>
      <c r="B26" s="4"/>
      <c r="C26" s="4"/>
      <c r="D26" s="4"/>
      <c r="E26" s="4"/>
      <c r="F26" s="4"/>
      <c r="G26" s="4"/>
      <c r="H26" s="4"/>
      <c r="I26" s="4">
        <v>103</v>
      </c>
      <c r="J26" s="4">
        <v>108</v>
      </c>
      <c r="K26" s="4">
        <v>96</v>
      </c>
      <c r="L26" s="4">
        <v>87</v>
      </c>
      <c r="M26" s="4">
        <v>91</v>
      </c>
      <c r="N26" s="4">
        <f>1362/7</f>
        <v>194.57142857142858</v>
      </c>
      <c r="O26" s="4">
        <f>1192/7</f>
        <v>170.28571428571428</v>
      </c>
      <c r="P26" s="4">
        <f>1383/7</f>
        <v>197.57142857142858</v>
      </c>
      <c r="Q26" s="4">
        <f>1462/7</f>
        <v>208.85714285714286</v>
      </c>
      <c r="R26" s="4">
        <f>1336/7</f>
        <v>190.85714285714286</v>
      </c>
      <c r="S26" s="4">
        <f>1492/7</f>
        <v>213.14285714285714</v>
      </c>
      <c r="T26" s="4">
        <f>1547/7</f>
        <v>221</v>
      </c>
      <c r="U26" s="6">
        <f>1644/7</f>
        <v>234.85714285714286</v>
      </c>
      <c r="V26" s="6">
        <f>1371/7</f>
        <v>195.85714285714286</v>
      </c>
      <c r="W26" s="6">
        <f>1577/7</f>
        <v>225.28571428571428</v>
      </c>
      <c r="X26" s="6">
        <f>1415/7</f>
        <v>202.14285714285714</v>
      </c>
      <c r="Y26" s="6">
        <f>1479/7</f>
        <v>211.28571428571428</v>
      </c>
      <c r="Z26" s="6">
        <f>1536/7</f>
        <v>219.42857142857142</v>
      </c>
      <c r="AA26" s="6">
        <f>1345/7</f>
        <v>192.14285714285714</v>
      </c>
      <c r="AB26" s="6">
        <f>1523/7</f>
        <v>217.57142857142858</v>
      </c>
      <c r="AC26">
        <v>248</v>
      </c>
      <c r="AD26">
        <v>211</v>
      </c>
      <c r="AE26">
        <v>208</v>
      </c>
      <c r="AF26">
        <v>221</v>
      </c>
      <c r="AG26">
        <v>195</v>
      </c>
      <c r="AH26">
        <v>186</v>
      </c>
      <c r="AI26">
        <v>182</v>
      </c>
      <c r="AJ26">
        <v>270</v>
      </c>
      <c r="AK26">
        <v>254</v>
      </c>
      <c r="AL26" s="6">
        <f>1633/7</f>
        <v>233.28571428571428</v>
      </c>
      <c r="AM26" s="6">
        <f>1462/7</f>
        <v>208.85714285714286</v>
      </c>
      <c r="AN26" s="6">
        <f>1685/7</f>
        <v>240.71428571428572</v>
      </c>
      <c r="AO26" s="6">
        <f>1166/7</f>
        <v>166.57142857142858</v>
      </c>
      <c r="AP26" s="6">
        <f>487/7</f>
        <v>69.571428571428569</v>
      </c>
      <c r="AQ26" s="6">
        <f>1314/7</f>
        <v>187.71428571428572</v>
      </c>
      <c r="AR26" s="6">
        <f>418/7</f>
        <v>59.714285714285715</v>
      </c>
      <c r="AS26" s="6">
        <f>1631/7</f>
        <v>233</v>
      </c>
      <c r="AT26" s="6">
        <f>1448/7</f>
        <v>206.85714285714286</v>
      </c>
      <c r="AU26" s="6">
        <f>1763/7</f>
        <v>251.85714285714286</v>
      </c>
      <c r="AV26" s="6">
        <f>1517/7</f>
        <v>216.71428571428572</v>
      </c>
      <c r="AW26" s="6">
        <f>1254/7</f>
        <v>179.14285714285714</v>
      </c>
      <c r="AX26" s="6">
        <f>1538/7</f>
        <v>219.71428571428572</v>
      </c>
      <c r="AY26" s="6">
        <f>1447/7</f>
        <v>206.71428571428572</v>
      </c>
      <c r="AZ26" s="6">
        <f>2380/7</f>
        <v>340</v>
      </c>
      <c r="BA26" s="6">
        <f>1324/7</f>
        <v>189.14285714285714</v>
      </c>
      <c r="BB26" s="6">
        <f>1351/7</f>
        <v>193</v>
      </c>
      <c r="BC26" s="6">
        <f>1493/7</f>
        <v>213.28571428571428</v>
      </c>
      <c r="BD26" s="6">
        <f>1326/7</f>
        <v>189.42857142857142</v>
      </c>
      <c r="BE26" s="6">
        <f>1492/7</f>
        <v>213.14285714285714</v>
      </c>
      <c r="BF26" s="6">
        <f>1501/7</f>
        <v>214.42857142857142</v>
      </c>
      <c r="BG26" s="6">
        <f>1766/7</f>
        <v>252.28571428571428</v>
      </c>
      <c r="BH26" s="6">
        <f>1614/7</f>
        <v>230.57142857142858</v>
      </c>
      <c r="BI26" s="6">
        <f>1768/7</f>
        <v>252.57142857142858</v>
      </c>
      <c r="BJ26" s="4">
        <v>230</v>
      </c>
      <c r="BK26" s="4">
        <f>1642/7</f>
        <v>234.57142857142858</v>
      </c>
      <c r="BL26" s="4">
        <f>1192/7</f>
        <v>170.28571428571428</v>
      </c>
      <c r="BM26" s="4">
        <f>1157/7</f>
        <v>165.28571428571428</v>
      </c>
      <c r="BN26" s="4">
        <f>1344/7</f>
        <v>192</v>
      </c>
      <c r="BO26" s="4">
        <f>1230/7</f>
        <v>175.71428571428572</v>
      </c>
      <c r="BP26" s="4">
        <f>1313/7</f>
        <v>187.57142857142858</v>
      </c>
      <c r="BQ26" s="4">
        <f>1374/7</f>
        <v>196.28571428571428</v>
      </c>
      <c r="BR26" s="4">
        <f>1470/7</f>
        <v>210</v>
      </c>
      <c r="BS26" s="4">
        <f>1445/7</f>
        <v>206.42857142857142</v>
      </c>
      <c r="BT26" s="4">
        <f>1272/7</f>
        <v>181.71428571428572</v>
      </c>
      <c r="BU26" s="4">
        <f>1364/7</f>
        <v>194.85714285714286</v>
      </c>
      <c r="BV26" s="6">
        <f>1586/7</f>
        <v>226.57142857142858</v>
      </c>
      <c r="BW26" s="6">
        <f>1720/7</f>
        <v>245.71428571428572</v>
      </c>
      <c r="BX26" s="4">
        <f>1544/7</f>
        <v>220.57142857142858</v>
      </c>
      <c r="BY26" s="4">
        <f>1946/7</f>
        <v>278</v>
      </c>
      <c r="BZ26" s="4">
        <f>236060/7</f>
        <v>33722.857142857145</v>
      </c>
      <c r="CA26" s="4">
        <f>1538/7</f>
        <v>219.71428571428572</v>
      </c>
      <c r="CB26" s="4">
        <f>1441/7</f>
        <v>205.85714285714286</v>
      </c>
      <c r="CC26" s="4">
        <f>2231/7</f>
        <v>318.71428571428572</v>
      </c>
      <c r="CD26" s="4">
        <f>1434/7</f>
        <v>204.85714285714286</v>
      </c>
      <c r="CE26" s="4">
        <f>1298/7</f>
        <v>185.42857142857142</v>
      </c>
      <c r="CF26" s="4">
        <f>1312/7</f>
        <v>187.42857142857142</v>
      </c>
      <c r="CG26" s="6">
        <f>1385/7</f>
        <v>197.85714285714286</v>
      </c>
      <c r="CH26" s="6">
        <f>1657/7</f>
        <v>236.71428571428572</v>
      </c>
      <c r="CI26" s="4">
        <f>1470/7</f>
        <v>210</v>
      </c>
      <c r="CJ26" s="4">
        <f>1382/7</f>
        <v>197.42857142857142</v>
      </c>
      <c r="CK26" s="4">
        <f>1407/7</f>
        <v>201</v>
      </c>
      <c r="CL26" s="4">
        <f>1503/7</f>
        <v>214.71428571428572</v>
      </c>
      <c r="CM26" s="4">
        <f>2741/7</f>
        <v>391.57142857142856</v>
      </c>
      <c r="CN26" s="4">
        <f>733/7</f>
        <v>104.71428571428571</v>
      </c>
      <c r="CO26" s="4">
        <f>932/7</f>
        <v>133.14285714285714</v>
      </c>
      <c r="CP26" s="4">
        <f>802/7</f>
        <v>114.57142857142857</v>
      </c>
      <c r="CQ26" s="4">
        <f>2765/7</f>
        <v>395</v>
      </c>
      <c r="CR26" s="4">
        <f>837/7</f>
        <v>119.57142857142857</v>
      </c>
      <c r="CS26" s="4">
        <f>985/7</f>
        <v>140.71428571428572</v>
      </c>
      <c r="CT26" s="4">
        <f>925/7</f>
        <v>132.14285714285714</v>
      </c>
      <c r="CU26" s="4">
        <f>960/7</f>
        <v>137.14285714285714</v>
      </c>
      <c r="CV26" s="4">
        <f>1237/7</f>
        <v>176.71428571428572</v>
      </c>
      <c r="CW26" s="4">
        <f>1058/7</f>
        <v>151.14285714285714</v>
      </c>
      <c r="CX26" s="4">
        <f>914/7</f>
        <v>130.57142857142858</v>
      </c>
      <c r="CY26" s="4">
        <f>967/7</f>
        <v>138.14285714285714</v>
      </c>
      <c r="CZ26" s="4">
        <f>995/7</f>
        <v>142.14285714285714</v>
      </c>
      <c r="DA26" s="4">
        <f>1064/7</f>
        <v>152</v>
      </c>
      <c r="DB26" s="4">
        <f>1013/7</f>
        <v>144.71428571428572</v>
      </c>
      <c r="DC26" s="4">
        <f>1061/7</f>
        <v>151.57142857142858</v>
      </c>
      <c r="DD26" s="4">
        <f>1030/7</f>
        <v>147.14285714285714</v>
      </c>
      <c r="DE26" s="4">
        <f>1117/7</f>
        <v>159.57142857142858</v>
      </c>
      <c r="DF26" s="4">
        <f>869/7</f>
        <v>124.14285714285714</v>
      </c>
      <c r="DG26" s="4">
        <f>1106/7</f>
        <v>158</v>
      </c>
      <c r="DH26" s="4">
        <f>1311/7</f>
        <v>187.28571428571428</v>
      </c>
      <c r="DI26" s="4">
        <f>1320/7</f>
        <v>188.57142857142858</v>
      </c>
      <c r="DJ26" s="4">
        <f>897/7</f>
        <v>128.14285714285714</v>
      </c>
      <c r="DK26" s="4">
        <f>898/7</f>
        <v>128.28571428571428</v>
      </c>
      <c r="DL26" s="4">
        <f>872/7</f>
        <v>124.57142857142857</v>
      </c>
      <c r="DM26" s="4">
        <f>958/7</f>
        <v>136.85714285714286</v>
      </c>
      <c r="DN26">
        <f>114/7</f>
        <v>16.285714285714285</v>
      </c>
      <c r="DO26">
        <v>39</v>
      </c>
      <c r="DP26" s="6">
        <f>205/7</f>
        <v>29.285714285714285</v>
      </c>
      <c r="DQ26" s="6">
        <f>104/7</f>
        <v>14.857142857142858</v>
      </c>
      <c r="DR26" s="6">
        <f>152/7</f>
        <v>21.714285714285715</v>
      </c>
      <c r="DS26" s="6">
        <f>190/7</f>
        <v>27.142857142857142</v>
      </c>
      <c r="DT26" s="6">
        <f>160/7</f>
        <v>22.857142857142858</v>
      </c>
      <c r="DU26" s="6">
        <f>190/7</f>
        <v>27.142857142857142</v>
      </c>
      <c r="DV26" s="6">
        <f>124/7</f>
        <v>17.714285714285715</v>
      </c>
      <c r="DW26" s="6">
        <f>107/7</f>
        <v>15.285714285714286</v>
      </c>
      <c r="DX26" s="6">
        <f>205/7</f>
        <v>29.285714285714285</v>
      </c>
      <c r="DY26" s="6">
        <v>14</v>
      </c>
      <c r="DZ26" s="6">
        <v>24</v>
      </c>
      <c r="EA26" s="6">
        <f>276/7</f>
        <v>39.428571428571431</v>
      </c>
      <c r="EB26" s="6">
        <f>69/7</f>
        <v>9.8571428571428577</v>
      </c>
      <c r="EC26" s="6">
        <f>95/7</f>
        <v>13.571428571428571</v>
      </c>
      <c r="ED26" s="6">
        <f>548/7</f>
        <v>78.285714285714292</v>
      </c>
      <c r="EE26" s="4">
        <f>601/7</f>
        <v>85.857142857142861</v>
      </c>
      <c r="EF26" s="4">
        <f>626/7</f>
        <v>89.428571428571431</v>
      </c>
      <c r="EG26" s="4"/>
      <c r="EH26" s="6">
        <f>1350/7</f>
        <v>192.85714285714286</v>
      </c>
      <c r="EI26" s="6">
        <f>843/7</f>
        <v>120.42857142857143</v>
      </c>
      <c r="EJ26" s="4">
        <f>765/7</f>
        <v>109.28571428571429</v>
      </c>
      <c r="EK26" s="4">
        <v>100</v>
      </c>
      <c r="EL26" s="4">
        <f>779/7</f>
        <v>111.28571428571429</v>
      </c>
      <c r="EM26" s="4">
        <f>403/7</f>
        <v>57.571428571428569</v>
      </c>
      <c r="EN26" s="4">
        <v>0</v>
      </c>
      <c r="EO26" s="4">
        <v>0</v>
      </c>
      <c r="EP26" s="4">
        <v>0</v>
      </c>
      <c r="EQ26" s="4">
        <f>508/7</f>
        <v>72.571428571428569</v>
      </c>
      <c r="ER26" s="4">
        <f>580/7</f>
        <v>82.857142857142861</v>
      </c>
      <c r="ES26" s="4">
        <f>268/7</f>
        <v>38.285714285714285</v>
      </c>
      <c r="ET26" s="4">
        <f>651/7</f>
        <v>93</v>
      </c>
      <c r="EU26" s="4">
        <f>619/7</f>
        <v>88.428571428571431</v>
      </c>
      <c r="EV26" s="4">
        <f>637/7</f>
        <v>91</v>
      </c>
      <c r="EW26" s="4">
        <f>647/7</f>
        <v>92.428571428571431</v>
      </c>
      <c r="EX26" s="6">
        <f>644/7</f>
        <v>92</v>
      </c>
      <c r="EY26" s="6">
        <f>610/7</f>
        <v>87.142857142857139</v>
      </c>
      <c r="EZ26" s="6">
        <f>635/7</f>
        <v>90.714285714285708</v>
      </c>
    </row>
    <row r="27" spans="1:157" x14ac:dyDescent="0.3">
      <c r="A27" t="s">
        <v>26</v>
      </c>
      <c r="DL27" s="4"/>
      <c r="DM27" s="4"/>
      <c r="DT27" s="6"/>
      <c r="DU27" s="6" t="s">
        <v>34</v>
      </c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6"/>
      <c r="EY27" s="6" t="s">
        <v>34</v>
      </c>
      <c r="EZ27" s="6"/>
    </row>
    <row r="28" spans="1:157" x14ac:dyDescent="0.3">
      <c r="A28" t="s">
        <v>36</v>
      </c>
      <c r="DN28" s="4">
        <v>0</v>
      </c>
      <c r="DO28" s="4">
        <f>13/7</f>
        <v>1.8571428571428572</v>
      </c>
      <c r="DP28" s="6">
        <v>0.14000000000000001</v>
      </c>
      <c r="DQ28" s="6">
        <v>1</v>
      </c>
      <c r="DR28" s="6">
        <v>1</v>
      </c>
      <c r="DS28" s="6">
        <v>1</v>
      </c>
      <c r="DT28" s="4"/>
      <c r="DU28" s="4">
        <v>1</v>
      </c>
      <c r="DV28" s="4"/>
      <c r="DW28" s="4">
        <f>11/7</f>
        <v>1.5714285714285714</v>
      </c>
      <c r="DX28" s="4">
        <v>0</v>
      </c>
      <c r="DY28" s="4"/>
      <c r="DZ28" s="4"/>
      <c r="EA28" s="4">
        <v>2</v>
      </c>
      <c r="EB28" s="4">
        <v>1</v>
      </c>
      <c r="EC28" s="4">
        <v>0</v>
      </c>
      <c r="ED28" s="4">
        <v>1</v>
      </c>
      <c r="EE28" s="4">
        <v>0</v>
      </c>
      <c r="EF28" s="4">
        <v>1</v>
      </c>
      <c r="EG28" s="4"/>
      <c r="EH28" s="4"/>
      <c r="EI28" s="4">
        <v>0</v>
      </c>
      <c r="EJ28" s="4">
        <v>0</v>
      </c>
      <c r="EK28" s="4">
        <v>1</v>
      </c>
      <c r="EL28" s="4">
        <v>1</v>
      </c>
      <c r="EM28" s="4">
        <f>46/7</f>
        <v>6.5714285714285712</v>
      </c>
      <c r="EN28" s="4">
        <v>20</v>
      </c>
      <c r="EO28" s="4">
        <f>180/7</f>
        <v>25.714285714285715</v>
      </c>
      <c r="EP28" s="4">
        <f>3</f>
        <v>3</v>
      </c>
      <c r="EQ28" s="4">
        <f>169/7</f>
        <v>24.142857142857142</v>
      </c>
      <c r="ER28" s="4">
        <f>233/7</f>
        <v>33.285714285714285</v>
      </c>
      <c r="ES28" s="4">
        <f>201/7</f>
        <v>28.714285714285715</v>
      </c>
      <c r="ET28" s="4">
        <f>176/7</f>
        <v>25.142857142857142</v>
      </c>
      <c r="EU28" s="4">
        <f>169/7</f>
        <v>24.142857142857142</v>
      </c>
      <c r="EV28" s="4">
        <f>184/7</f>
        <v>26.285714285714285</v>
      </c>
      <c r="EW28" s="4">
        <f>168/7</f>
        <v>24</v>
      </c>
      <c r="EX28" s="6">
        <f>177/7</f>
        <v>25.285714285714285</v>
      </c>
      <c r="EY28" s="6">
        <f>178/7</f>
        <v>25.428571428571427</v>
      </c>
      <c r="EZ28" s="6">
        <f>117/7</f>
        <v>16.714285714285715</v>
      </c>
    </row>
    <row r="29" spans="1:157" x14ac:dyDescent="0.3">
      <c r="A29" s="5" t="s">
        <v>33</v>
      </c>
      <c r="B29" s="4">
        <f t="shared" ref="B29:AG29" si="0">SUM(B6:B9,B12:B16,B19:B22,B24:B26)</f>
        <v>38603</v>
      </c>
      <c r="C29" s="4">
        <f t="shared" si="0"/>
        <v>44552</v>
      </c>
      <c r="D29" s="4">
        <f t="shared" si="0"/>
        <v>35736</v>
      </c>
      <c r="E29" s="4">
        <f t="shared" si="0"/>
        <v>18755</v>
      </c>
      <c r="F29" s="4">
        <f t="shared" si="0"/>
        <v>27068</v>
      </c>
      <c r="G29" s="4">
        <f t="shared" si="0"/>
        <v>49461</v>
      </c>
      <c r="H29" s="4">
        <f t="shared" si="0"/>
        <v>45173</v>
      </c>
      <c r="I29" s="4">
        <f t="shared" si="0"/>
        <v>35476</v>
      </c>
      <c r="J29" s="4">
        <f t="shared" si="0"/>
        <v>31608</v>
      </c>
      <c r="K29" s="4">
        <f t="shared" si="0"/>
        <v>26461</v>
      </c>
      <c r="L29" s="4">
        <f t="shared" si="0"/>
        <v>20361.400000000001</v>
      </c>
      <c r="M29" s="4">
        <f t="shared" si="0"/>
        <v>17284.728571428568</v>
      </c>
      <c r="N29" s="4">
        <f t="shared" si="0"/>
        <v>36052.857142857145</v>
      </c>
      <c r="O29" s="4">
        <f t="shared" si="0"/>
        <v>29176.428571428572</v>
      </c>
      <c r="P29" s="4">
        <f t="shared" si="0"/>
        <v>43617.571428571428</v>
      </c>
      <c r="Q29" s="4">
        <f t="shared" si="0"/>
        <v>33372.300000000003</v>
      </c>
      <c r="R29" s="4">
        <f t="shared" si="0"/>
        <v>31498.428571428569</v>
      </c>
      <c r="S29" s="4">
        <f t="shared" si="0"/>
        <v>35973.714285714283</v>
      </c>
      <c r="T29" s="4">
        <f t="shared" si="0"/>
        <v>26767.428571428572</v>
      </c>
      <c r="U29" s="4">
        <f t="shared" si="0"/>
        <v>25976.428571428569</v>
      </c>
      <c r="V29" s="4">
        <f t="shared" si="0"/>
        <v>31856.999999999996</v>
      </c>
      <c r="W29" s="4">
        <f t="shared" si="0"/>
        <v>32647.428571428569</v>
      </c>
      <c r="X29" s="4">
        <f t="shared" si="0"/>
        <v>23492.142857142859</v>
      </c>
      <c r="Y29" s="4">
        <f t="shared" si="0"/>
        <v>26853.671428571426</v>
      </c>
      <c r="Z29" s="4">
        <f t="shared" si="0"/>
        <v>24303.457142857143</v>
      </c>
      <c r="AA29" s="4">
        <f t="shared" si="0"/>
        <v>20590.000000000004</v>
      </c>
      <c r="AB29" s="4">
        <f t="shared" si="0"/>
        <v>22381.714285714283</v>
      </c>
      <c r="AC29" s="4">
        <f t="shared" si="0"/>
        <v>36860.571428571428</v>
      </c>
      <c r="AD29" s="4">
        <f t="shared" si="0"/>
        <v>33561.271428571425</v>
      </c>
      <c r="AE29" s="4">
        <f t="shared" si="0"/>
        <v>28565</v>
      </c>
      <c r="AF29" s="4">
        <f t="shared" si="0"/>
        <v>24367.114285714288</v>
      </c>
      <c r="AG29" s="4">
        <f t="shared" si="0"/>
        <v>33672.71428571429</v>
      </c>
      <c r="AH29" s="4">
        <f t="shared" ref="AH29:BM29" si="1">SUM(AH6:AH9,AH12:AH16,AH19:AH22,AH24:AH26)</f>
        <v>37717.571428571428</v>
      </c>
      <c r="AI29" s="4">
        <f t="shared" si="1"/>
        <v>84623.157142857148</v>
      </c>
      <c r="AJ29" s="4">
        <f t="shared" si="1"/>
        <v>33554</v>
      </c>
      <c r="AK29" s="4">
        <f t="shared" si="1"/>
        <v>44648.857142857145</v>
      </c>
      <c r="AL29" s="4">
        <f t="shared" si="1"/>
        <v>34141.285714285717</v>
      </c>
      <c r="AM29" s="4">
        <f t="shared" si="1"/>
        <v>26661.442857142854</v>
      </c>
      <c r="AN29" s="4">
        <f t="shared" si="1"/>
        <v>25519.428571428572</v>
      </c>
      <c r="AO29" s="4">
        <f t="shared" si="1"/>
        <v>23930.285714285714</v>
      </c>
      <c r="AP29" s="4">
        <f t="shared" si="1"/>
        <v>28491.571428571428</v>
      </c>
      <c r="AQ29" s="4">
        <f t="shared" si="1"/>
        <v>113759.42857142858</v>
      </c>
      <c r="AR29" s="4">
        <f t="shared" si="1"/>
        <v>36160.857142857138</v>
      </c>
      <c r="AS29" s="4">
        <f t="shared" si="1"/>
        <v>78012.71428571429</v>
      </c>
      <c r="AT29" s="4">
        <f t="shared" si="1"/>
        <v>112625.4</v>
      </c>
      <c r="AU29" s="4">
        <f t="shared" si="1"/>
        <v>21259.428571428569</v>
      </c>
      <c r="AV29" s="4">
        <f t="shared" si="1"/>
        <v>82658.285714285725</v>
      </c>
      <c r="AW29" s="4">
        <f t="shared" si="1"/>
        <v>50919.857142857138</v>
      </c>
      <c r="AX29" s="4">
        <f t="shared" si="1"/>
        <v>96987.71428571429</v>
      </c>
      <c r="AY29" s="4">
        <f t="shared" si="1"/>
        <v>124057.28571428572</v>
      </c>
      <c r="AZ29" s="4">
        <f t="shared" si="1"/>
        <v>94606.28571428571</v>
      </c>
      <c r="BA29" s="4">
        <f t="shared" si="1"/>
        <v>32705</v>
      </c>
      <c r="BB29" s="4">
        <f t="shared" si="1"/>
        <v>44999.428571428572</v>
      </c>
      <c r="BC29" s="4">
        <f t="shared" si="1"/>
        <v>27813.285714285714</v>
      </c>
      <c r="BD29" s="4">
        <f t="shared" si="1"/>
        <v>27568.285714285714</v>
      </c>
      <c r="BE29" s="4">
        <f t="shared" si="1"/>
        <v>58587</v>
      </c>
      <c r="BF29" s="4">
        <f t="shared" si="1"/>
        <v>51568.014285714293</v>
      </c>
      <c r="BG29" s="4">
        <f t="shared" si="1"/>
        <v>59027.428571428572</v>
      </c>
      <c r="BH29" s="4">
        <f t="shared" si="1"/>
        <v>202114.14285714284</v>
      </c>
      <c r="BI29" s="4">
        <f t="shared" si="1"/>
        <v>147707.71428571429</v>
      </c>
      <c r="BJ29" s="4">
        <f t="shared" si="1"/>
        <v>84083.71</v>
      </c>
      <c r="BK29" s="4">
        <f t="shared" si="1"/>
        <v>155238.57</v>
      </c>
      <c r="BL29" s="4">
        <f t="shared" si="1"/>
        <v>146455.8542857143</v>
      </c>
      <c r="BM29" s="4">
        <f t="shared" si="1"/>
        <v>143372.57142857142</v>
      </c>
      <c r="BN29" s="4">
        <f t="shared" ref="BN29:DM29" si="2">SUM(BN6:BN9,BN12:BN16,BN19:BN22,BN24:BN26)</f>
        <v>230338</v>
      </c>
      <c r="BO29" s="4">
        <f t="shared" si="2"/>
        <v>126974.57142857143</v>
      </c>
      <c r="BP29" s="4">
        <f t="shared" si="2"/>
        <v>186913.57142857142</v>
      </c>
      <c r="BQ29" s="4">
        <f t="shared" si="2"/>
        <v>151088.57142857142</v>
      </c>
      <c r="BR29" s="4">
        <f t="shared" si="2"/>
        <v>168742.5857142857</v>
      </c>
      <c r="BS29" s="4">
        <f t="shared" si="2"/>
        <v>148567.14285714287</v>
      </c>
      <c r="BT29" s="4">
        <f t="shared" si="2"/>
        <v>185159.28571428571</v>
      </c>
      <c r="BU29" s="4">
        <f t="shared" si="2"/>
        <v>367236.68571428576</v>
      </c>
      <c r="BV29" s="4">
        <f t="shared" si="2"/>
        <v>438127.14285714284</v>
      </c>
      <c r="BW29" s="4">
        <f t="shared" si="2"/>
        <v>337114.91428571427</v>
      </c>
      <c r="BX29" s="4">
        <f t="shared" si="2"/>
        <v>211864.74285714285</v>
      </c>
      <c r="BY29" s="4">
        <f t="shared" si="2"/>
        <v>151659.6857142857</v>
      </c>
      <c r="BZ29" s="4">
        <f t="shared" si="2"/>
        <v>223458.85714285716</v>
      </c>
      <c r="CA29" s="4">
        <f t="shared" si="2"/>
        <v>149690.28571428571</v>
      </c>
      <c r="CB29" s="4">
        <f t="shared" si="2"/>
        <v>161827.42857142855</v>
      </c>
      <c r="CC29" s="4">
        <f t="shared" si="2"/>
        <v>238262</v>
      </c>
      <c r="CD29" s="4">
        <f t="shared" si="2"/>
        <v>354742.55714285717</v>
      </c>
      <c r="CE29" s="4">
        <f t="shared" si="2"/>
        <v>282883.88571428572</v>
      </c>
      <c r="CF29" s="4">
        <f t="shared" si="2"/>
        <v>89648.37000000001</v>
      </c>
      <c r="CG29" s="4">
        <f t="shared" si="2"/>
        <v>110456.14285714286</v>
      </c>
      <c r="CH29" s="4">
        <f t="shared" si="2"/>
        <v>80236.142857142855</v>
      </c>
      <c r="CI29" s="4">
        <f t="shared" si="2"/>
        <v>207308.14285714287</v>
      </c>
      <c r="CJ29" s="4">
        <f t="shared" si="2"/>
        <v>218814.14285714287</v>
      </c>
      <c r="CK29" s="4">
        <f t="shared" si="2"/>
        <v>231353.14285714287</v>
      </c>
      <c r="CL29" s="4">
        <f t="shared" si="2"/>
        <v>258238.14285714287</v>
      </c>
      <c r="CM29" s="4">
        <f t="shared" si="2"/>
        <v>218206</v>
      </c>
      <c r="CN29" s="4">
        <f t="shared" si="2"/>
        <v>191930.71428571429</v>
      </c>
      <c r="CO29" s="4">
        <f t="shared" si="2"/>
        <v>201088.42857142858</v>
      </c>
      <c r="CP29" s="4">
        <f t="shared" si="2"/>
        <v>203457.14285714284</v>
      </c>
      <c r="CQ29" s="4">
        <f t="shared" si="2"/>
        <v>170333.02857142859</v>
      </c>
      <c r="CR29" s="4">
        <f t="shared" si="2"/>
        <v>139868.71428571429</v>
      </c>
      <c r="CS29" s="4">
        <f t="shared" si="2"/>
        <v>39849.142857142855</v>
      </c>
      <c r="CT29" s="4">
        <f t="shared" si="2"/>
        <v>19701.857142857145</v>
      </c>
      <c r="CU29" s="4">
        <f t="shared" si="2"/>
        <v>99990</v>
      </c>
      <c r="CV29" s="4">
        <f t="shared" si="2"/>
        <v>132042.57142857142</v>
      </c>
      <c r="CW29" s="4">
        <f t="shared" si="2"/>
        <v>147861.57142857145</v>
      </c>
      <c r="CX29" s="4">
        <f t="shared" si="2"/>
        <v>39493.571428571428</v>
      </c>
      <c r="CY29" s="4">
        <f t="shared" si="2"/>
        <v>32088.571428571431</v>
      </c>
      <c r="CZ29" s="4">
        <f t="shared" si="2"/>
        <v>21011.857142857145</v>
      </c>
      <c r="DA29" s="4">
        <f t="shared" si="2"/>
        <v>39191.428571428572</v>
      </c>
      <c r="DB29" s="4">
        <f t="shared" si="2"/>
        <v>68841.285714285725</v>
      </c>
      <c r="DC29" s="4">
        <f t="shared" si="2"/>
        <v>25692.714285714283</v>
      </c>
      <c r="DD29" s="4">
        <f t="shared" si="2"/>
        <v>24294.000000000004</v>
      </c>
      <c r="DE29" s="4">
        <f t="shared" si="2"/>
        <v>30113</v>
      </c>
      <c r="DF29" s="4">
        <f t="shared" si="2"/>
        <v>19284.285714285717</v>
      </c>
      <c r="DG29" s="4">
        <f t="shared" si="2"/>
        <v>18537.571428571428</v>
      </c>
      <c r="DH29" s="4">
        <f t="shared" si="2"/>
        <v>48321.285714285717</v>
      </c>
      <c r="DI29" s="4">
        <f t="shared" si="2"/>
        <v>48135.014285714286</v>
      </c>
      <c r="DJ29" s="4">
        <f t="shared" si="2"/>
        <v>23877.857142857145</v>
      </c>
      <c r="DK29" s="4">
        <f t="shared" si="2"/>
        <v>27843.428571428572</v>
      </c>
      <c r="DL29" s="4">
        <f t="shared" si="2"/>
        <v>111452.28571428572</v>
      </c>
      <c r="DM29" s="4">
        <f t="shared" si="2"/>
        <v>21489.857142857141</v>
      </c>
      <c r="DN29" s="4">
        <f t="shared" ref="DN29:DT29" si="3">SUM(DN6:DN9,DN12:DN16,DN19:DN22,DN24:DN25)</f>
        <v>62621</v>
      </c>
      <c r="DO29" s="4">
        <f t="shared" si="3"/>
        <v>467644.85714285716</v>
      </c>
      <c r="DP29" s="4">
        <f t="shared" si="3"/>
        <v>228143.28571428571</v>
      </c>
      <c r="DQ29" s="4">
        <f t="shared" si="3"/>
        <v>259712.71428571429</v>
      </c>
      <c r="DR29" s="4">
        <f t="shared" si="3"/>
        <v>826878.85714285716</v>
      </c>
      <c r="DS29" s="4">
        <f t="shared" si="3"/>
        <v>55315.571428571428</v>
      </c>
      <c r="DT29" s="4">
        <f t="shared" si="3"/>
        <v>107697.71428571429</v>
      </c>
      <c r="DU29" s="4">
        <f t="shared" ref="DU29:ED29" si="4">SUM(DU6:DU9,DU12:DU16,DU19:DU22,DU24:DU28)</f>
        <v>83466.314285714281</v>
      </c>
      <c r="DV29" s="4">
        <f t="shared" si="4"/>
        <v>40059.714285714283</v>
      </c>
      <c r="DW29" s="4">
        <f t="shared" si="4"/>
        <v>42936.857142857145</v>
      </c>
      <c r="DX29" s="4">
        <f t="shared" si="4"/>
        <v>212172.57142857142</v>
      </c>
      <c r="DY29" s="4">
        <f t="shared" si="4"/>
        <v>5974</v>
      </c>
      <c r="DZ29" s="4">
        <f t="shared" si="4"/>
        <v>5479</v>
      </c>
      <c r="EA29" s="4">
        <f t="shared" si="4"/>
        <v>18278.857142857145</v>
      </c>
      <c r="EB29" s="4">
        <f t="shared" si="4"/>
        <v>7392.2857142857147</v>
      </c>
      <c r="EC29" s="4">
        <f t="shared" si="4"/>
        <v>3570</v>
      </c>
      <c r="ED29" s="4">
        <f t="shared" si="4"/>
        <v>5558.1428571428578</v>
      </c>
      <c r="EE29" s="4">
        <f>SUM(EE6:EE9,EE12:EE16,EE19:EE22,EE24:EE28)</f>
        <v>14848.285714285714</v>
      </c>
      <c r="EF29" s="4">
        <f t="shared" ref="EF29:EY29" si="5">SUM(EF6:EF9,EF12:EF16,EF19:EF22,EF24:EF28)</f>
        <v>8059.2857142857147</v>
      </c>
      <c r="EG29" s="4">
        <f t="shared" si="5"/>
        <v>6590.3</v>
      </c>
      <c r="EH29" s="4">
        <f t="shared" si="5"/>
        <v>8188.8571428571431</v>
      </c>
      <c r="EI29" s="4">
        <f t="shared" si="5"/>
        <v>9023.8571428571413</v>
      </c>
      <c r="EJ29" s="4">
        <f t="shared" si="5"/>
        <v>107207.67142857143</v>
      </c>
      <c r="EK29" s="4">
        <f t="shared" si="5"/>
        <v>42724.428571428572</v>
      </c>
      <c r="EL29" s="4">
        <f t="shared" si="5"/>
        <v>35123.000000000007</v>
      </c>
      <c r="EM29" s="9">
        <f t="shared" si="5"/>
        <v>342238.57142857142</v>
      </c>
      <c r="EN29" s="9">
        <f>SUM(EN6:EN9,EN12:EN16,EN19:EN22,EN24:EN28)</f>
        <v>12676.714285714286</v>
      </c>
      <c r="EO29" s="9">
        <f t="shared" si="5"/>
        <v>198317.57142857142</v>
      </c>
      <c r="EP29" s="9">
        <f t="shared" si="5"/>
        <v>282378.57142857142</v>
      </c>
      <c r="EQ29" s="9">
        <f t="shared" si="5"/>
        <v>30011</v>
      </c>
      <c r="ER29" s="9">
        <f t="shared" si="5"/>
        <v>21351.428571428569</v>
      </c>
      <c r="ES29" s="9">
        <f t="shared" si="5"/>
        <v>40745.285714285717</v>
      </c>
      <c r="ET29" s="9">
        <f t="shared" si="5"/>
        <v>118853.28571428571</v>
      </c>
      <c r="EU29" s="9">
        <f t="shared" si="5"/>
        <v>11342.571428571428</v>
      </c>
      <c r="EV29" s="9">
        <f t="shared" si="5"/>
        <v>16710.428571428572</v>
      </c>
      <c r="EW29" s="9">
        <f t="shared" si="5"/>
        <v>24442.571428571431</v>
      </c>
      <c r="EX29" s="11">
        <f t="shared" si="5"/>
        <v>78846.142857142855</v>
      </c>
      <c r="EY29" s="11">
        <f t="shared" si="5"/>
        <v>35014.28571428571</v>
      </c>
      <c r="EZ29" s="6"/>
    </row>
    <row r="30" spans="1:157" x14ac:dyDescent="0.3">
      <c r="A30" s="3" t="s">
        <v>12</v>
      </c>
      <c r="M30" s="4"/>
      <c r="N30" s="4"/>
      <c r="O30" s="4"/>
      <c r="P30" s="4"/>
      <c r="Q30" s="4"/>
      <c r="R30" s="4"/>
      <c r="S30" s="4"/>
      <c r="T30" s="4"/>
    </row>
    <row r="31" spans="1:157" x14ac:dyDescent="0.3">
      <c r="B31" t="s">
        <v>13</v>
      </c>
    </row>
    <row r="32" spans="1:157" x14ac:dyDescent="0.3">
      <c r="B32" t="s">
        <v>14</v>
      </c>
    </row>
    <row r="33" spans="1:89" x14ac:dyDescent="0.3">
      <c r="B33" t="s">
        <v>15</v>
      </c>
    </row>
    <row r="34" spans="1:89" x14ac:dyDescent="0.3">
      <c r="B34" t="s">
        <v>16</v>
      </c>
    </row>
    <row r="35" spans="1:89" x14ac:dyDescent="0.3">
      <c r="B35" t="s">
        <v>17</v>
      </c>
    </row>
    <row r="36" spans="1:89" x14ac:dyDescent="0.3">
      <c r="B36" t="s">
        <v>18</v>
      </c>
      <c r="CK36" s="4"/>
    </row>
    <row r="39" spans="1:89" x14ac:dyDescent="0.3">
      <c r="A39" s="5" t="s">
        <v>19</v>
      </c>
    </row>
    <row r="40" spans="1:89" x14ac:dyDescent="0.3">
      <c r="B40" t="s">
        <v>27</v>
      </c>
    </row>
    <row r="41" spans="1:89" x14ac:dyDescent="0.3">
      <c r="B41" t="s">
        <v>28</v>
      </c>
    </row>
    <row r="42" spans="1:89" x14ac:dyDescent="0.3">
      <c r="B42" t="s">
        <v>29</v>
      </c>
    </row>
    <row r="43" spans="1:89" x14ac:dyDescent="0.3">
      <c r="B43" t="s">
        <v>30</v>
      </c>
    </row>
    <row r="44" spans="1:89" x14ac:dyDescent="0.3">
      <c r="C44" t="s">
        <v>20</v>
      </c>
    </row>
    <row r="45" spans="1:89" x14ac:dyDescent="0.3">
      <c r="C45" t="s">
        <v>21</v>
      </c>
    </row>
    <row r="46" spans="1:89" x14ac:dyDescent="0.3">
      <c r="C46" t="s">
        <v>22</v>
      </c>
    </row>
    <row r="47" spans="1:89" x14ac:dyDescent="0.3">
      <c r="B47" t="s">
        <v>23</v>
      </c>
    </row>
    <row r="48" spans="1:89" x14ac:dyDescent="0.3">
      <c r="B48" t="s">
        <v>31</v>
      </c>
    </row>
    <row r="49" spans="2:2" x14ac:dyDescent="0.3">
      <c r="B49" t="s">
        <v>32</v>
      </c>
    </row>
    <row r="99" spans="2:41" x14ac:dyDescent="0.3">
      <c r="C99" s="7">
        <f ca="1">AVERAGE(OFFSET($B3,0,4*(COLUMN(B99)-COLUMN($B$102)),1,4))</f>
        <v>41941.5</v>
      </c>
      <c r="D99" s="7">
        <f t="shared" ref="D99:AG99" ca="1" si="6">AVERAGE(OFFSET($B3,0,4*(COLUMN(C99)-COLUMN($B$102)),1,4))</f>
        <v>41969.5</v>
      </c>
      <c r="E99" s="7">
        <f t="shared" ca="1" si="6"/>
        <v>41997.5</v>
      </c>
      <c r="F99" s="7">
        <f t="shared" ca="1" si="6"/>
        <v>42025.5</v>
      </c>
      <c r="G99" s="7">
        <f t="shared" ca="1" si="6"/>
        <v>42053.5</v>
      </c>
      <c r="H99" s="7">
        <f t="shared" ca="1" si="6"/>
        <v>42081.5</v>
      </c>
      <c r="I99" s="7">
        <f t="shared" ca="1" si="6"/>
        <v>42109.5</v>
      </c>
      <c r="J99" s="7">
        <f t="shared" ca="1" si="6"/>
        <v>42137.5</v>
      </c>
      <c r="K99" s="7">
        <f t="shared" ca="1" si="6"/>
        <v>42165.5</v>
      </c>
      <c r="L99" s="7">
        <f t="shared" ca="1" si="6"/>
        <v>42193.5</v>
      </c>
      <c r="M99" s="7">
        <f t="shared" ca="1" si="6"/>
        <v>42221.5</v>
      </c>
      <c r="N99" s="7">
        <f t="shared" ca="1" si="6"/>
        <v>42249.5</v>
      </c>
      <c r="O99" s="7">
        <f t="shared" ca="1" si="6"/>
        <v>42277.5</v>
      </c>
      <c r="P99" s="7">
        <f t="shared" ca="1" si="6"/>
        <v>42305.5</v>
      </c>
      <c r="Q99" s="7">
        <f t="shared" ca="1" si="6"/>
        <v>42333.5</v>
      </c>
      <c r="R99" s="7">
        <f t="shared" ca="1" si="6"/>
        <v>42361.5</v>
      </c>
      <c r="S99" s="7">
        <f t="shared" ca="1" si="6"/>
        <v>42389.5</v>
      </c>
      <c r="T99" s="7">
        <f t="shared" ca="1" si="6"/>
        <v>42417.5</v>
      </c>
      <c r="U99" s="7">
        <f t="shared" ca="1" si="6"/>
        <v>42445.5</v>
      </c>
      <c r="V99" s="7">
        <f t="shared" ca="1" si="6"/>
        <v>42473.5</v>
      </c>
      <c r="W99" s="7">
        <f t="shared" ca="1" si="6"/>
        <v>42501.5</v>
      </c>
      <c r="X99" s="7">
        <f t="shared" ca="1" si="6"/>
        <v>42529.5</v>
      </c>
      <c r="Y99" s="7">
        <f t="shared" ca="1" si="6"/>
        <v>42557.5</v>
      </c>
      <c r="Z99" s="7">
        <f t="shared" ca="1" si="6"/>
        <v>42585.5</v>
      </c>
      <c r="AA99" s="7">
        <f t="shared" ca="1" si="6"/>
        <v>42613.5</v>
      </c>
      <c r="AB99" s="7">
        <f t="shared" ca="1" si="6"/>
        <v>42641.5</v>
      </c>
      <c r="AC99" s="7">
        <f t="shared" ca="1" si="6"/>
        <v>42669.5</v>
      </c>
      <c r="AD99" s="7">
        <f t="shared" ca="1" si="6"/>
        <v>42697.5</v>
      </c>
      <c r="AE99" s="7">
        <f t="shared" ca="1" si="6"/>
        <v>42725.5</v>
      </c>
      <c r="AF99" s="7">
        <f t="shared" ca="1" si="6"/>
        <v>42753.5</v>
      </c>
      <c r="AG99" s="7">
        <f t="shared" ca="1" si="6"/>
        <v>42781.5</v>
      </c>
      <c r="AH99" s="7"/>
      <c r="AI99" s="7"/>
      <c r="AJ99" s="7"/>
      <c r="AK99" s="7"/>
    </row>
    <row r="101" spans="2:41" x14ac:dyDescent="0.3">
      <c r="B101" s="3" t="s">
        <v>3</v>
      </c>
    </row>
    <row r="102" spans="2:41" x14ac:dyDescent="0.3">
      <c r="B102" t="s">
        <v>4</v>
      </c>
      <c r="C102" s="6">
        <f t="shared" ref="C102:AG102" ca="1" si="7">AVERAGE(OFFSET($B6,0,4*(COLUMN(B102)-COLUMN($B$102)),1,4))</f>
        <v>11925</v>
      </c>
      <c r="D102" s="6">
        <f t="shared" ca="1" si="7"/>
        <v>20046.25</v>
      </c>
      <c r="E102" s="6">
        <f t="shared" ca="1" si="7"/>
        <v>13615.5</v>
      </c>
      <c r="F102" s="6">
        <f t="shared" ca="1" si="7"/>
        <v>22058</v>
      </c>
      <c r="G102" s="6">
        <f t="shared" ca="1" si="7"/>
        <v>16454</v>
      </c>
      <c r="H102" s="6">
        <f t="shared" ca="1" si="7"/>
        <v>13020.75</v>
      </c>
      <c r="I102" s="6">
        <f t="shared" ca="1" si="7"/>
        <v>7450.9</v>
      </c>
      <c r="J102" s="6">
        <f t="shared" ca="1" si="7"/>
        <v>10792.25</v>
      </c>
      <c r="K102" s="6">
        <f t="shared" ca="1" si="7"/>
        <v>24204.25</v>
      </c>
      <c r="L102" s="6">
        <f t="shared" ca="1" si="7"/>
        <v>9075.75</v>
      </c>
      <c r="M102" s="6">
        <f t="shared" ca="1" si="7"/>
        <v>17609.25</v>
      </c>
      <c r="N102" s="6">
        <f t="shared" ca="1" si="7"/>
        <v>26047.25</v>
      </c>
      <c r="O102" s="6">
        <f t="shared" ca="1" si="7"/>
        <v>14256</v>
      </c>
      <c r="P102" s="6">
        <f t="shared" ca="1" si="7"/>
        <v>8906</v>
      </c>
      <c r="Q102" s="6">
        <f t="shared" ca="1" si="7"/>
        <v>13319</v>
      </c>
      <c r="R102" s="6">
        <f t="shared" ca="1" si="7"/>
        <v>7539.25</v>
      </c>
      <c r="S102" s="6">
        <f t="shared" ca="1" si="7"/>
        <v>7671.25</v>
      </c>
      <c r="T102" s="6">
        <f t="shared" ca="1" si="7"/>
        <v>6667.75</v>
      </c>
      <c r="U102" s="6">
        <f t="shared" ca="1" si="7"/>
        <v>7324.2250000000004</v>
      </c>
      <c r="V102" s="6">
        <f t="shared" ca="1" si="7"/>
        <v>8089.25</v>
      </c>
      <c r="W102" s="6">
        <f t="shared" ca="1" si="7"/>
        <v>6992.25</v>
      </c>
      <c r="X102" s="6">
        <f t="shared" ca="1" si="7"/>
        <v>9672.25</v>
      </c>
      <c r="Y102" s="6">
        <f t="shared" ca="1" si="7"/>
        <v>9217.5</v>
      </c>
      <c r="Z102" s="6">
        <f t="shared" ca="1" si="7"/>
        <v>8778</v>
      </c>
      <c r="AA102" s="6">
        <f t="shared" ca="1" si="7"/>
        <v>9530.25</v>
      </c>
      <c r="AB102" s="6">
        <f t="shared" ca="1" si="7"/>
        <v>10312.25</v>
      </c>
      <c r="AC102" s="6">
        <f t="shared" ca="1" si="7"/>
        <v>5077</v>
      </c>
      <c r="AD102" s="6">
        <f t="shared" ca="1" si="7"/>
        <v>6353.75</v>
      </c>
      <c r="AE102" s="6">
        <f t="shared" ca="1" si="7"/>
        <v>6050.5</v>
      </c>
      <c r="AF102" s="6">
        <f t="shared" ca="1" si="7"/>
        <v>8422.75</v>
      </c>
      <c r="AG102" s="6">
        <f t="shared" ca="1" si="7"/>
        <v>5405.75</v>
      </c>
      <c r="AJ102" s="4"/>
      <c r="AK102" s="4"/>
      <c r="AL102" s="4"/>
      <c r="AN102" s="4"/>
      <c r="AO102" s="4"/>
    </row>
    <row r="103" spans="2:41" x14ac:dyDescent="0.3">
      <c r="B103" t="s">
        <v>5</v>
      </c>
      <c r="C103" s="6">
        <f t="shared" ref="C103:AG103" ca="1" si="8">AVERAGE(OFFSET($B7,0,4*(COLUMN(B103)-COLUMN($B$102)),1,4))</f>
        <v>460.75</v>
      </c>
      <c r="D103" s="6">
        <f t="shared" ca="1" si="8"/>
        <v>554.75</v>
      </c>
      <c r="E103" s="6">
        <f t="shared" ca="1" si="8"/>
        <v>3.5</v>
      </c>
      <c r="F103" s="6">
        <f t="shared" ca="1" si="8"/>
        <v>1139</v>
      </c>
      <c r="G103" s="6">
        <f t="shared" ca="1" si="8"/>
        <v>835.25</v>
      </c>
      <c r="H103" s="6">
        <f t="shared" ca="1" si="8"/>
        <v>883.25</v>
      </c>
      <c r="I103" s="6">
        <f t="shared" ca="1" si="8"/>
        <v>990.75</v>
      </c>
      <c r="J103" s="6">
        <f t="shared" ca="1" si="8"/>
        <v>720.67499999999995</v>
      </c>
      <c r="K103" s="6">
        <f t="shared" ca="1" si="8"/>
        <v>962.5</v>
      </c>
      <c r="L103" s="6">
        <f t="shared" ca="1" si="8"/>
        <v>1079.25</v>
      </c>
      <c r="M103" s="6">
        <f t="shared" ca="1" si="8"/>
        <v>1527</v>
      </c>
      <c r="N103" s="6">
        <f t="shared" ca="1" si="8"/>
        <v>974.5</v>
      </c>
      <c r="O103" s="6">
        <f t="shared" ca="1" si="8"/>
        <v>1042</v>
      </c>
      <c r="P103" s="6">
        <f t="shared" ca="1" si="8"/>
        <v>925</v>
      </c>
      <c r="Q103" s="6">
        <f t="shared" ca="1" si="8"/>
        <v>894</v>
      </c>
      <c r="R103" s="6">
        <f t="shared" ca="1" si="8"/>
        <v>944.25</v>
      </c>
      <c r="S103" s="6">
        <f t="shared" ca="1" si="8"/>
        <v>1009.25</v>
      </c>
      <c r="T103" s="6">
        <f t="shared" ca="1" si="8"/>
        <v>358.25</v>
      </c>
      <c r="U103" s="6">
        <f t="shared" ca="1" si="8"/>
        <v>72.424999999999997</v>
      </c>
      <c r="V103" s="6">
        <f t="shared" ca="1" si="8"/>
        <v>135</v>
      </c>
      <c r="W103" s="6">
        <f t="shared" ca="1" si="8"/>
        <v>78.174999999999997</v>
      </c>
      <c r="X103" s="6">
        <f t="shared" ca="1" si="8"/>
        <v>75.25</v>
      </c>
      <c r="Y103" s="6">
        <f t="shared" ca="1" si="8"/>
        <v>85.5</v>
      </c>
      <c r="Z103" s="6">
        <f t="shared" ca="1" si="8"/>
        <v>70.400000000000006</v>
      </c>
      <c r="AA103" s="6">
        <f t="shared" ca="1" si="8"/>
        <v>27.5</v>
      </c>
      <c r="AB103" s="6">
        <f t="shared" ca="1" si="8"/>
        <v>412</v>
      </c>
      <c r="AC103" s="6">
        <f t="shared" ca="1" si="8"/>
        <v>1187.5</v>
      </c>
      <c r="AD103" s="6">
        <f t="shared" ca="1" si="8"/>
        <v>1533.075</v>
      </c>
      <c r="AE103" s="6">
        <f t="shared" ca="1" si="8"/>
        <v>1452.75</v>
      </c>
      <c r="AF103" s="6">
        <f t="shared" ca="1" si="8"/>
        <v>1070.75</v>
      </c>
      <c r="AG103" s="6">
        <f t="shared" ca="1" si="8"/>
        <v>1051.5999999999999</v>
      </c>
      <c r="AJ103" s="4"/>
      <c r="AK103" s="4"/>
      <c r="AL103" s="4"/>
      <c r="AN103" s="4"/>
      <c r="AO103" s="4"/>
    </row>
    <row r="104" spans="2:41" x14ac:dyDescent="0.3">
      <c r="B104" t="s">
        <v>6</v>
      </c>
      <c r="C104" s="6">
        <f t="shared" ref="C104:AG104" ca="1" si="9">AVERAGE(OFFSET($B8,0,4*(COLUMN(B104)-COLUMN($B$102)),1,4))</f>
        <v>3.75</v>
      </c>
      <c r="D104" s="6">
        <f t="shared" ca="1" si="9"/>
        <v>4.75</v>
      </c>
      <c r="E104" s="6">
        <f t="shared" ca="1" si="9"/>
        <v>0.25</v>
      </c>
      <c r="F104" s="6">
        <f t="shared" ca="1" si="9"/>
        <v>6.5750000000000002</v>
      </c>
      <c r="G104" s="6">
        <f t="shared" ca="1" si="9"/>
        <v>5</v>
      </c>
      <c r="H104" s="6">
        <f t="shared" ca="1" si="9"/>
        <v>5.2750000000000004</v>
      </c>
      <c r="I104" s="6">
        <f t="shared" ca="1" si="9"/>
        <v>5.75</v>
      </c>
      <c r="J104" s="6">
        <f t="shared" ca="1" si="9"/>
        <v>4.0999999999999996</v>
      </c>
      <c r="K104" s="6">
        <f t="shared" ca="1" si="9"/>
        <v>5.5750000000000002</v>
      </c>
      <c r="L104" s="6">
        <f t="shared" ca="1" si="9"/>
        <v>6.5750000000000002</v>
      </c>
      <c r="M104" s="6">
        <f t="shared" ca="1" si="9"/>
        <v>8.5</v>
      </c>
      <c r="N104" s="6">
        <f t="shared" ca="1" si="9"/>
        <v>6</v>
      </c>
      <c r="O104" s="6">
        <f t="shared" ca="1" si="9"/>
        <v>6</v>
      </c>
      <c r="P104" s="6">
        <f t="shared" ca="1" si="9"/>
        <v>5</v>
      </c>
      <c r="Q104" s="6">
        <f t="shared" ca="1" si="9"/>
        <v>5.0750000000000002</v>
      </c>
      <c r="R104" s="6">
        <f t="shared" ca="1" si="9"/>
        <v>5</v>
      </c>
      <c r="S104" s="6">
        <f t="shared" ca="1" si="9"/>
        <v>6.25</v>
      </c>
      <c r="T104" s="6">
        <f t="shared" ca="1" si="9"/>
        <v>1.6749999999999998</v>
      </c>
      <c r="U104" s="6">
        <f t="shared" ca="1" si="9"/>
        <v>0.5</v>
      </c>
      <c r="V104" s="6">
        <f t="shared" ca="1" si="9"/>
        <v>0.5</v>
      </c>
      <c r="W104" s="6">
        <f t="shared" ca="1" si="9"/>
        <v>1.6</v>
      </c>
      <c r="X104" s="6">
        <f t="shared" ca="1" si="9"/>
        <v>0.75</v>
      </c>
      <c r="Y104" s="6">
        <f t="shared" ca="1" si="9"/>
        <v>0.5</v>
      </c>
      <c r="Z104" s="6">
        <f t="shared" ca="1" si="9"/>
        <v>0</v>
      </c>
      <c r="AA104" s="6">
        <f t="shared" ca="1" si="9"/>
        <v>2</v>
      </c>
      <c r="AB104" s="6">
        <f t="shared" ca="1" si="9"/>
        <v>3.25</v>
      </c>
      <c r="AC104" s="6">
        <f t="shared" ca="1" si="9"/>
        <v>7</v>
      </c>
      <c r="AD104" s="6">
        <f t="shared" ca="1" si="9"/>
        <v>15.5</v>
      </c>
      <c r="AE104" s="6">
        <f t="shared" ca="1" si="9"/>
        <v>11.5</v>
      </c>
      <c r="AF104" s="6">
        <f t="shared" ca="1" si="9"/>
        <v>7.5</v>
      </c>
      <c r="AG104" s="6">
        <f t="shared" ca="1" si="9"/>
        <v>8.1999999999999993</v>
      </c>
      <c r="AJ104" s="4"/>
      <c r="AK104" s="4"/>
      <c r="AL104" s="4"/>
      <c r="AN104" s="4"/>
      <c r="AO104" s="4"/>
    </row>
    <row r="105" spans="2:41" x14ac:dyDescent="0.3">
      <c r="B105" t="s">
        <v>7</v>
      </c>
      <c r="C105" s="6">
        <f t="shared" ref="C105:AG112" ca="1" si="10">AVERAGE(OFFSET($B9,0,4*(COLUMN(B105)-COLUMN($B$102)),1,4))</f>
        <v>2373.75</v>
      </c>
      <c r="D105" s="6">
        <f t="shared" ca="1" si="10"/>
        <v>4946</v>
      </c>
      <c r="E105" s="6">
        <f t="shared" ca="1" si="10"/>
        <v>2378.6749999999997</v>
      </c>
      <c r="F105" s="6">
        <f t="shared" ca="1" si="10"/>
        <v>3037.5</v>
      </c>
      <c r="G105" s="6">
        <f t="shared" ca="1" si="10"/>
        <v>2944.25</v>
      </c>
      <c r="H105" s="6">
        <f t="shared" ca="1" si="10"/>
        <v>2761.75</v>
      </c>
      <c r="I105" s="6">
        <f t="shared" ca="1" si="10"/>
        <v>1942</v>
      </c>
      <c r="J105" s="6">
        <f t="shared" ca="1" si="10"/>
        <v>2020</v>
      </c>
      <c r="K105" s="6">
        <f t="shared" ca="1" si="10"/>
        <v>3163</v>
      </c>
      <c r="L105" s="6">
        <f t="shared" ca="1" si="10"/>
        <v>1868.5</v>
      </c>
      <c r="M105" s="6">
        <f t="shared" ca="1" si="10"/>
        <v>1824</v>
      </c>
      <c r="N105" s="6">
        <f t="shared" ca="1" si="10"/>
        <v>1761.85</v>
      </c>
      <c r="O105" s="6">
        <f t="shared" ca="1" si="10"/>
        <v>4570</v>
      </c>
      <c r="P105" s="6">
        <f t="shared" ca="1" si="10"/>
        <v>2759.75</v>
      </c>
      <c r="Q105" s="6">
        <f t="shared" ca="1" si="10"/>
        <v>3307.5</v>
      </c>
      <c r="R105" s="6">
        <f t="shared" ca="1" si="10"/>
        <v>1616.5</v>
      </c>
      <c r="S105" s="6">
        <f t="shared" ca="1" si="10"/>
        <v>2437.75</v>
      </c>
      <c r="T105" s="6">
        <f t="shared" ca="1" si="10"/>
        <v>2342</v>
      </c>
      <c r="U105" s="6">
        <f t="shared" ca="1" si="10"/>
        <v>3910</v>
      </c>
      <c r="V105" s="6">
        <f t="shared" ca="1" si="10"/>
        <v>2590.25</v>
      </c>
      <c r="W105" s="6">
        <f t="shared" ca="1" si="10"/>
        <v>2510.75</v>
      </c>
      <c r="X105" s="6">
        <f t="shared" ca="1" si="10"/>
        <v>2328</v>
      </c>
      <c r="Y105" s="6">
        <f t="shared" ca="1" si="10"/>
        <v>1618</v>
      </c>
      <c r="Z105" s="6">
        <f t="shared" ca="1" si="10"/>
        <v>1583.75</v>
      </c>
      <c r="AA105" s="6">
        <f t="shared" ca="1" si="10"/>
        <v>2585</v>
      </c>
      <c r="AB105" s="6">
        <f t="shared" ca="1" si="10"/>
        <v>2601.25</v>
      </c>
      <c r="AC105" s="6">
        <f t="shared" ca="1" si="10"/>
        <v>2769</v>
      </c>
      <c r="AD105" s="6">
        <f t="shared" ca="1" si="10"/>
        <v>3859.75</v>
      </c>
      <c r="AE105" s="6">
        <f t="shared" ca="1" si="10"/>
        <v>2414.75</v>
      </c>
      <c r="AF105" s="6">
        <f t="shared" ca="1" si="10"/>
        <v>2111.25</v>
      </c>
      <c r="AG105" s="6">
        <f t="shared" ca="1" si="10"/>
        <v>2605.6</v>
      </c>
    </row>
    <row r="106" spans="2:41" x14ac:dyDescent="0.3">
      <c r="B106" t="s">
        <v>8</v>
      </c>
      <c r="D106" s="6">
        <f t="shared" ca="1" si="10"/>
        <v>51</v>
      </c>
      <c r="E106" s="6">
        <f t="shared" ca="1" si="10"/>
        <v>119.72499999999999</v>
      </c>
      <c r="F106" s="6">
        <f t="shared" ca="1" si="10"/>
        <v>124.5</v>
      </c>
      <c r="G106" s="6">
        <f t="shared" ca="1" si="10"/>
        <v>222.22499999999999</v>
      </c>
      <c r="H106" s="6">
        <f t="shared" ca="1" si="10"/>
        <v>113.575</v>
      </c>
      <c r="I106" s="6">
        <f t="shared" ca="1" si="10"/>
        <v>99.5</v>
      </c>
      <c r="J106" s="6">
        <f t="shared" ca="1" si="10"/>
        <v>114.6</v>
      </c>
      <c r="K106" s="6">
        <f t="shared" ca="1" si="10"/>
        <v>1806.25</v>
      </c>
      <c r="L106" s="6">
        <f t="shared" ca="1" si="10"/>
        <v>223.75</v>
      </c>
      <c r="M106" s="6">
        <f t="shared" ca="1" si="10"/>
        <v>180.25</v>
      </c>
      <c r="N106" s="6">
        <f t="shared" ca="1" si="10"/>
        <v>302.25</v>
      </c>
      <c r="O106" s="6">
        <f t="shared" ca="1" si="10"/>
        <v>1272.5</v>
      </c>
      <c r="P106" s="6">
        <f t="shared" ca="1" si="10"/>
        <v>382.5</v>
      </c>
      <c r="Q106" s="6">
        <f t="shared" ca="1" si="10"/>
        <v>640.25</v>
      </c>
      <c r="R106" s="6">
        <f t="shared" ca="1" si="10"/>
        <v>336.75</v>
      </c>
      <c r="S106" s="6">
        <f t="shared" ca="1" si="10"/>
        <v>239.75</v>
      </c>
      <c r="T106" s="6">
        <f t="shared" ca="1" si="10"/>
        <v>242.75</v>
      </c>
      <c r="U106" s="6">
        <f t="shared" ca="1" si="10"/>
        <v>625</v>
      </c>
      <c r="V106" s="6">
        <f t="shared" ca="1" si="10"/>
        <v>249.75</v>
      </c>
      <c r="W106" s="6">
        <f t="shared" ca="1" si="10"/>
        <v>322</v>
      </c>
      <c r="X106" s="6">
        <f t="shared" ca="1" si="10"/>
        <v>105.5</v>
      </c>
      <c r="Y106" s="6">
        <f t="shared" ca="1" si="10"/>
        <v>118</v>
      </c>
      <c r="Z106" s="6">
        <f t="shared" ca="1" si="10"/>
        <v>55</v>
      </c>
      <c r="AA106" s="6">
        <f t="shared" ca="1" si="10"/>
        <v>84</v>
      </c>
      <c r="AB106" s="6">
        <f t="shared" ca="1" si="10"/>
        <v>164</v>
      </c>
      <c r="AC106" s="6">
        <f t="shared" ca="1" si="10"/>
        <v>195.75</v>
      </c>
      <c r="AD106" s="6">
        <f t="shared" ca="1" si="10"/>
        <v>82</v>
      </c>
      <c r="AE106" s="6">
        <f t="shared" ca="1" si="10"/>
        <v>66.75</v>
      </c>
      <c r="AF106" s="6">
        <f t="shared" ca="1" si="10"/>
        <v>309.5</v>
      </c>
      <c r="AG106" s="6">
        <f t="shared" ca="1" si="10"/>
        <v>603.75</v>
      </c>
      <c r="AJ106" s="4"/>
      <c r="AK106" s="4"/>
      <c r="AL106" s="4"/>
      <c r="AM106" s="4"/>
      <c r="AN106" s="4"/>
      <c r="AO106" s="4"/>
    </row>
    <row r="107" spans="2:41" x14ac:dyDescent="0.3">
      <c r="B107" s="3" t="s">
        <v>9</v>
      </c>
      <c r="D107" t="s">
        <v>34</v>
      </c>
    </row>
    <row r="108" spans="2:41" x14ac:dyDescent="0.3">
      <c r="B108" t="s">
        <v>4</v>
      </c>
      <c r="C108" s="6">
        <f t="shared" ca="1" si="10"/>
        <v>1479.75</v>
      </c>
      <c r="D108" s="6">
        <f t="shared" ca="1" si="10"/>
        <v>1994.75</v>
      </c>
      <c r="E108" s="6">
        <f t="shared" ca="1" si="10"/>
        <v>981.75</v>
      </c>
      <c r="F108" s="6">
        <f t="shared" ca="1" si="10"/>
        <v>1450</v>
      </c>
      <c r="G108" s="6">
        <f t="shared" ca="1" si="10"/>
        <v>1244.25</v>
      </c>
      <c r="H108" s="6">
        <f t="shared" ca="1" si="10"/>
        <v>1214.5</v>
      </c>
      <c r="I108" s="6">
        <f t="shared" ca="1" si="10"/>
        <v>1108.75</v>
      </c>
      <c r="J108" s="6">
        <f t="shared" ca="1" si="10"/>
        <v>1359.75</v>
      </c>
      <c r="K108" s="6">
        <f t="shared" ca="1" si="10"/>
        <v>1587.75</v>
      </c>
      <c r="L108" s="6">
        <f t="shared" ca="1" si="10"/>
        <v>948.25</v>
      </c>
      <c r="M108" s="6">
        <f t="shared" ca="1" si="10"/>
        <v>3005</v>
      </c>
      <c r="N108" s="6">
        <f t="shared" ca="1" si="10"/>
        <v>1121.75</v>
      </c>
      <c r="O108" s="6">
        <f t="shared" ca="1" si="10"/>
        <v>2054</v>
      </c>
      <c r="P108" s="6">
        <f t="shared" ca="1" si="10"/>
        <v>1458.5</v>
      </c>
      <c r="Q108" s="6">
        <f t="shared" ca="1" si="10"/>
        <v>1885.25</v>
      </c>
      <c r="R108" s="6">
        <f t="shared" ca="1" si="10"/>
        <v>796.25</v>
      </c>
      <c r="S108" s="6">
        <f t="shared" ca="1" si="10"/>
        <v>775.75</v>
      </c>
      <c r="T108" s="6">
        <f t="shared" ca="1" si="10"/>
        <v>980.5</v>
      </c>
      <c r="U108" s="6">
        <f t="shared" ca="1" si="10"/>
        <v>1819.75</v>
      </c>
      <c r="V108" s="6">
        <f t="shared" ca="1" si="10"/>
        <v>1247.5</v>
      </c>
      <c r="W108" s="6">
        <f t="shared" ca="1" si="10"/>
        <v>1273.75</v>
      </c>
      <c r="X108" s="6">
        <f t="shared" ca="1" si="10"/>
        <v>1293.75</v>
      </c>
      <c r="Y108" s="6">
        <f t="shared" ca="1" si="10"/>
        <v>784.25</v>
      </c>
      <c r="Z108" s="6">
        <f t="shared" ca="1" si="10"/>
        <v>937</v>
      </c>
      <c r="AA108" s="6">
        <f t="shared" ca="1" si="10"/>
        <v>1584</v>
      </c>
      <c r="AB108" s="6">
        <f t="shared" ca="1" si="10"/>
        <v>1495.25</v>
      </c>
      <c r="AC108" s="6">
        <f t="shared" ca="1" si="10"/>
        <v>1847.25</v>
      </c>
      <c r="AD108" s="6">
        <f t="shared" ca="1" si="10"/>
        <v>1342.75</v>
      </c>
      <c r="AE108" s="6">
        <f t="shared" ca="1" si="10"/>
        <v>1197</v>
      </c>
      <c r="AF108" s="6">
        <f t="shared" ca="1" si="10"/>
        <v>1087</v>
      </c>
      <c r="AG108" s="6">
        <f t="shared" ca="1" si="10"/>
        <v>10997.25</v>
      </c>
    </row>
    <row r="109" spans="2:41" x14ac:dyDescent="0.3">
      <c r="B109" t="s">
        <v>35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2:41" x14ac:dyDescent="0.3">
      <c r="B110" t="s">
        <v>7</v>
      </c>
      <c r="C110" s="6">
        <f t="shared" ca="1" si="10"/>
        <v>4262.75</v>
      </c>
      <c r="D110" s="6">
        <f t="shared" ca="1" si="10"/>
        <v>2866</v>
      </c>
      <c r="E110" s="6">
        <f t="shared" ca="1" si="10"/>
        <v>1495.75</v>
      </c>
      <c r="F110" s="6">
        <f t="shared" ca="1" si="10"/>
        <v>1962.75</v>
      </c>
      <c r="G110" s="6">
        <f t="shared" ca="1" si="10"/>
        <v>1962.25</v>
      </c>
      <c r="H110" s="6">
        <f t="shared" ca="1" si="10"/>
        <v>1888</v>
      </c>
      <c r="I110" s="6">
        <f t="shared" ca="1" si="10"/>
        <v>1508</v>
      </c>
      <c r="J110" s="6">
        <f t="shared" ca="1" si="10"/>
        <v>1602</v>
      </c>
      <c r="K110" s="6">
        <f t="shared" ca="1" si="10"/>
        <v>1854.25</v>
      </c>
      <c r="L110" s="6">
        <f t="shared" ca="1" si="10"/>
        <v>1422.75</v>
      </c>
      <c r="M110" s="6">
        <f t="shared" ca="1" si="10"/>
        <v>1204.5</v>
      </c>
      <c r="N110" s="6">
        <f t="shared" ca="1" si="10"/>
        <v>1004.5</v>
      </c>
      <c r="O110" s="6">
        <f t="shared" ca="1" si="10"/>
        <v>2801</v>
      </c>
      <c r="P110" s="6">
        <f t="shared" ca="1" si="10"/>
        <v>1941.5</v>
      </c>
      <c r="Q110" s="6">
        <f t="shared" ca="1" si="10"/>
        <v>2342.25</v>
      </c>
      <c r="R110" s="6">
        <f t="shared" ca="1" si="10"/>
        <v>6833</v>
      </c>
      <c r="S110" s="6">
        <f t="shared" ca="1" si="10"/>
        <v>23783.5</v>
      </c>
      <c r="T110" s="6">
        <f t="shared" ca="1" si="10"/>
        <v>1392.5</v>
      </c>
      <c r="U110" s="6">
        <f t="shared" ca="1" si="10"/>
        <v>2505</v>
      </c>
      <c r="V110" s="6">
        <f t="shared" ca="1" si="10"/>
        <v>1775.25</v>
      </c>
      <c r="W110" s="6">
        <f t="shared" ca="1" si="10"/>
        <v>1745</v>
      </c>
      <c r="X110" s="6">
        <f t="shared" ca="1" si="10"/>
        <v>1785.5</v>
      </c>
      <c r="Y110" s="6">
        <f t="shared" ca="1" si="10"/>
        <v>1096.25</v>
      </c>
      <c r="Z110" s="6">
        <f t="shared" ca="1" si="10"/>
        <v>898.75</v>
      </c>
      <c r="AA110" s="6">
        <f t="shared" ca="1" si="10"/>
        <v>2029.5</v>
      </c>
      <c r="AB110" s="6">
        <f t="shared" ca="1" si="10"/>
        <v>1770.25</v>
      </c>
      <c r="AC110" s="6">
        <f t="shared" ca="1" si="10"/>
        <v>1964.75</v>
      </c>
      <c r="AD110" s="6">
        <f t="shared" ca="1" si="10"/>
        <v>2443.5</v>
      </c>
      <c r="AE110" s="6">
        <f t="shared" ca="1" si="10"/>
        <v>1654</v>
      </c>
      <c r="AF110" s="6">
        <f t="shared" ca="1" si="10"/>
        <v>2058.5</v>
      </c>
      <c r="AG110" s="6">
        <f t="shared" ca="1" si="10"/>
        <v>1926</v>
      </c>
    </row>
    <row r="111" spans="2:41" x14ac:dyDescent="0.3">
      <c r="B111" t="s">
        <v>10</v>
      </c>
      <c r="C111" s="6">
        <f t="shared" ca="1" si="10"/>
        <v>1037.5</v>
      </c>
      <c r="D111" s="6">
        <f t="shared" ca="1" si="10"/>
        <v>2085.25</v>
      </c>
      <c r="E111" s="6">
        <f t="shared" ca="1" si="10"/>
        <v>822.5</v>
      </c>
      <c r="F111" s="6">
        <f t="shared" ca="1" si="10"/>
        <v>884.25</v>
      </c>
      <c r="G111" s="6">
        <f t="shared" ca="1" si="10"/>
        <v>1310.25</v>
      </c>
      <c r="H111" s="6">
        <f t="shared" ca="1" si="10"/>
        <v>1001.25</v>
      </c>
      <c r="I111" s="6">
        <f t="shared" ca="1" si="10"/>
        <v>1200.75</v>
      </c>
      <c r="J111" s="6">
        <f t="shared" ca="1" si="10"/>
        <v>1091.25</v>
      </c>
      <c r="K111" s="6">
        <f t="shared" ca="1" si="10"/>
        <v>1970.75</v>
      </c>
      <c r="L111" s="6">
        <f t="shared" ca="1" si="10"/>
        <v>953.5</v>
      </c>
      <c r="M111" s="6">
        <f t="shared" ca="1" si="10"/>
        <v>1101.5</v>
      </c>
      <c r="N111" s="6">
        <f t="shared" ca="1" si="10"/>
        <v>1256.25</v>
      </c>
      <c r="O111" s="6">
        <f t="shared" ca="1" si="10"/>
        <v>1468.25</v>
      </c>
      <c r="P111" s="6">
        <f t="shared" ca="1" si="10"/>
        <v>1232.25</v>
      </c>
      <c r="Q111" s="6">
        <f t="shared" ca="1" si="10"/>
        <v>1391.5</v>
      </c>
      <c r="R111" s="6">
        <f t="shared" ca="1" si="10"/>
        <v>2970.75</v>
      </c>
      <c r="S111" s="6">
        <f t="shared" ca="1" si="10"/>
        <v>893.5</v>
      </c>
      <c r="T111" s="6">
        <f t="shared" ca="1" si="10"/>
        <v>902.75</v>
      </c>
      <c r="U111" s="6">
        <f t="shared" ca="1" si="10"/>
        <v>2381.75</v>
      </c>
      <c r="V111" s="6">
        <f t="shared" ca="1" si="10"/>
        <v>1467.5</v>
      </c>
      <c r="W111" s="6">
        <f t="shared" ca="1" si="10"/>
        <v>1022</v>
      </c>
      <c r="X111" s="6">
        <f t="shared" ca="1" si="10"/>
        <v>1188.75</v>
      </c>
      <c r="Y111" s="6">
        <f t="shared" ca="1" si="10"/>
        <v>927.5</v>
      </c>
      <c r="Z111" s="6">
        <f t="shared" ca="1" si="10"/>
        <v>630.25</v>
      </c>
      <c r="AA111" s="6">
        <f t="shared" ca="1" si="10"/>
        <v>1450.75</v>
      </c>
      <c r="AB111" s="6">
        <f t="shared" ca="1" si="10"/>
        <v>818.25</v>
      </c>
      <c r="AC111" s="6">
        <f t="shared" ca="1" si="10"/>
        <v>943.75</v>
      </c>
      <c r="AD111" s="6">
        <f t="shared" ca="1" si="10"/>
        <v>876.25</v>
      </c>
      <c r="AE111" s="6">
        <f t="shared" ca="1" si="10"/>
        <v>856.5</v>
      </c>
      <c r="AF111" s="6">
        <f t="shared" ca="1" si="10"/>
        <v>1060</v>
      </c>
      <c r="AG111" s="6">
        <f t="shared" ca="1" si="10"/>
        <v>956.75</v>
      </c>
    </row>
    <row r="112" spans="2:41" x14ac:dyDescent="0.3">
      <c r="B112" t="s">
        <v>11</v>
      </c>
      <c r="C112" s="6">
        <f t="shared" ca="1" si="10"/>
        <v>708.5</v>
      </c>
      <c r="D112" s="6">
        <f t="shared" ca="1" si="10"/>
        <v>1604.5</v>
      </c>
      <c r="E112" s="6">
        <f t="shared" ca="1" si="10"/>
        <v>1519</v>
      </c>
      <c r="F112" s="6">
        <f t="shared" ca="1" si="10"/>
        <v>1385.75</v>
      </c>
      <c r="G112" s="6">
        <f t="shared" ca="1" si="10"/>
        <v>898.5</v>
      </c>
      <c r="H112" s="6">
        <f t="shared" ca="1" si="10"/>
        <v>784</v>
      </c>
      <c r="I112" s="6">
        <f t="shared" ca="1" si="10"/>
        <v>455.75</v>
      </c>
      <c r="J112" s="6">
        <f t="shared" ca="1" si="10"/>
        <v>312</v>
      </c>
      <c r="K112" s="6">
        <f t="shared" ca="1" si="10"/>
        <v>175.25</v>
      </c>
      <c r="L112" s="6">
        <f t="shared" ca="1" si="10"/>
        <v>117.25</v>
      </c>
      <c r="M112" s="6">
        <f t="shared" ca="1" si="10"/>
        <v>100.25</v>
      </c>
      <c r="N112" s="6">
        <f t="shared" ca="1" si="10"/>
        <v>171.25</v>
      </c>
      <c r="O112" s="6">
        <f t="shared" ca="1" si="10"/>
        <v>104</v>
      </c>
      <c r="P112" s="6">
        <f t="shared" ca="1" si="10"/>
        <v>107</v>
      </c>
      <c r="Q112" s="6">
        <f t="shared" ca="1" si="10"/>
        <v>95</v>
      </c>
      <c r="R112" s="6">
        <f t="shared" ca="1" si="10"/>
        <v>146.25</v>
      </c>
      <c r="S112" s="6">
        <f t="shared" ca="1" si="10"/>
        <v>181.5</v>
      </c>
      <c r="T112" s="6">
        <f t="shared" ca="1" si="10"/>
        <v>99</v>
      </c>
      <c r="U112" s="6">
        <f t="shared" ca="1" si="10"/>
        <v>123.5</v>
      </c>
      <c r="V112" s="6">
        <f t="shared" ca="1" si="10"/>
        <v>2206</v>
      </c>
      <c r="W112" s="6">
        <f t="shared" ca="1" si="10"/>
        <v>103</v>
      </c>
      <c r="X112" s="6">
        <f t="shared" ca="1" si="10"/>
        <v>97.25</v>
      </c>
      <c r="Y112" s="6">
        <f t="shared" ca="1" si="10"/>
        <v>171.5</v>
      </c>
      <c r="Z112" s="6">
        <f t="shared" ca="1" si="10"/>
        <v>100.5</v>
      </c>
      <c r="AA112" s="6">
        <f t="shared" ca="1" si="10"/>
        <v>79.25</v>
      </c>
      <c r="AB112" s="6">
        <f t="shared" ca="1" si="10"/>
        <v>55</v>
      </c>
      <c r="AC112" s="6" t="s">
        <v>34</v>
      </c>
    </row>
    <row r="113" spans="2:33" x14ac:dyDescent="0.3">
      <c r="D113" t="s">
        <v>34</v>
      </c>
    </row>
    <row r="114" spans="2:33" x14ac:dyDescent="0.3">
      <c r="B114" s="5" t="s">
        <v>24</v>
      </c>
      <c r="D114" t="s">
        <v>34</v>
      </c>
    </row>
    <row r="115" spans="2:33" x14ac:dyDescent="0.3">
      <c r="B115" t="s">
        <v>4</v>
      </c>
      <c r="C115" s="6">
        <f t="shared" ref="C115:AG115" ca="1" si="11">AVERAGE(OFFSET($B19,0,4*(COLUMN(B115)-COLUMN($B$102)),1,4))</f>
        <v>69.75</v>
      </c>
      <c r="D115" s="6">
        <f t="shared" ca="1" si="11"/>
        <v>162.5</v>
      </c>
      <c r="E115" s="6">
        <f t="shared" ca="1" si="11"/>
        <v>62.75</v>
      </c>
      <c r="F115" s="6">
        <f t="shared" ca="1" si="11"/>
        <v>351</v>
      </c>
      <c r="G115" s="6">
        <f t="shared" ca="1" si="11"/>
        <v>417.5</v>
      </c>
      <c r="H115" s="6">
        <f t="shared" ca="1" si="11"/>
        <v>3914.25</v>
      </c>
      <c r="I115" s="6">
        <f t="shared" ca="1" si="11"/>
        <v>6744.75</v>
      </c>
      <c r="J115" s="6">
        <f t="shared" ca="1" si="11"/>
        <v>8379</v>
      </c>
      <c r="K115" s="6">
        <f t="shared" ca="1" si="11"/>
        <v>11061.75</v>
      </c>
      <c r="L115" s="6">
        <f t="shared" ca="1" si="11"/>
        <v>7964.5</v>
      </c>
      <c r="M115" s="6">
        <f t="shared" ca="1" si="11"/>
        <v>21280.25</v>
      </c>
      <c r="N115" s="6">
        <f t="shared" ca="1" si="11"/>
        <v>13977.25</v>
      </c>
      <c r="O115" s="6">
        <f t="shared" ca="1" si="11"/>
        <v>22579</v>
      </c>
      <c r="P115" s="6">
        <f t="shared" ca="1" si="11"/>
        <v>19058.25</v>
      </c>
      <c r="Q115" s="6">
        <f t="shared" ca="1" si="11"/>
        <v>24815.75</v>
      </c>
      <c r="R115" s="6">
        <f t="shared" ca="1" si="11"/>
        <v>11271.25</v>
      </c>
      <c r="S115" s="6">
        <f t="shared" ca="1" si="11"/>
        <v>32218.25</v>
      </c>
      <c r="T115" s="6">
        <f t="shared" ca="1" si="11"/>
        <v>60173.75</v>
      </c>
      <c r="U115" s="6">
        <f t="shared" ca="1" si="11"/>
        <v>128610</v>
      </c>
      <c r="V115" s="6">
        <f t="shared" ca="1" si="11"/>
        <v>52502.5</v>
      </c>
      <c r="W115" s="6">
        <f t="shared" ca="1" si="11"/>
        <v>112435</v>
      </c>
      <c r="X115" s="6">
        <f t="shared" ca="1" si="11"/>
        <v>32875.5</v>
      </c>
      <c r="Y115" s="6">
        <f t="shared" ca="1" si="11"/>
        <v>1679.75</v>
      </c>
      <c r="Z115" s="6">
        <f t="shared" ca="1" si="11"/>
        <v>12477</v>
      </c>
      <c r="AA115" s="6">
        <f t="shared" ca="1" si="11"/>
        <v>8586</v>
      </c>
      <c r="AB115" s="6">
        <f t="shared" ca="1" si="11"/>
        <v>7348.25</v>
      </c>
      <c r="AC115" s="6">
        <f t="shared" ca="1" si="11"/>
        <v>3735.5</v>
      </c>
      <c r="AD115" s="6">
        <f t="shared" ca="1" si="11"/>
        <v>9885.5</v>
      </c>
      <c r="AE115" s="6">
        <f t="shared" ca="1" si="11"/>
        <v>2112.75</v>
      </c>
      <c r="AF115" s="6">
        <f t="shared" ca="1" si="11"/>
        <v>3314.75</v>
      </c>
      <c r="AG115" s="6">
        <f t="shared" ca="1" si="11"/>
        <v>3128</v>
      </c>
    </row>
    <row r="116" spans="2:33" x14ac:dyDescent="0.3">
      <c r="B116" t="s">
        <v>7</v>
      </c>
      <c r="C116" s="6">
        <f t="shared" ref="C116:AG116" ca="1" si="12">AVERAGE(OFFSET($B20,0,4*(COLUMN(B116)-COLUMN($B$102)),1,4))</f>
        <v>12090</v>
      </c>
      <c r="D116" s="6">
        <f t="shared" ca="1" si="12"/>
        <v>4978</v>
      </c>
      <c r="E116" s="6">
        <f t="shared" ca="1" si="12"/>
        <v>2874.75</v>
      </c>
      <c r="F116" s="6">
        <f t="shared" ca="1" si="12"/>
        <v>3010</v>
      </c>
      <c r="G116" s="6">
        <f t="shared" ca="1" si="12"/>
        <v>3650.5</v>
      </c>
      <c r="H116" s="6">
        <f t="shared" ca="1" si="12"/>
        <v>2840.75</v>
      </c>
      <c r="I116" s="6">
        <f t="shared" ca="1" si="12"/>
        <v>4190.25</v>
      </c>
      <c r="J116" s="6">
        <f t="shared" ca="1" si="12"/>
        <v>3482</v>
      </c>
      <c r="K116" s="6">
        <f t="shared" ca="1" si="12"/>
        <v>4826.5</v>
      </c>
      <c r="L116" s="6">
        <f t="shared" ca="1" si="12"/>
        <v>3820.5</v>
      </c>
      <c r="M116" s="6">
        <f t="shared" ca="1" si="12"/>
        <v>3542.75</v>
      </c>
      <c r="N116" s="6">
        <f t="shared" ca="1" si="12"/>
        <v>3889.25</v>
      </c>
      <c r="O116" s="6">
        <f t="shared" ca="1" si="12"/>
        <v>6442.25</v>
      </c>
      <c r="P116" s="6">
        <f t="shared" ca="1" si="12"/>
        <v>4589.75</v>
      </c>
      <c r="Q116" s="6">
        <f t="shared" ca="1" si="12"/>
        <v>6367</v>
      </c>
      <c r="R116" s="6">
        <f t="shared" ca="1" si="12"/>
        <v>2545.75</v>
      </c>
      <c r="S116" s="6">
        <f t="shared" ca="1" si="12"/>
        <v>14568.5</v>
      </c>
      <c r="T116" s="6">
        <f t="shared" ca="1" si="12"/>
        <v>20296.25</v>
      </c>
      <c r="U116" s="6">
        <f t="shared" ca="1" si="12"/>
        <v>24423.9</v>
      </c>
      <c r="V116" s="6">
        <f t="shared" ca="1" si="12"/>
        <v>6866</v>
      </c>
      <c r="W116" s="6">
        <f t="shared" ca="1" si="12"/>
        <v>4386</v>
      </c>
      <c r="X116" s="6">
        <f t="shared" ca="1" si="12"/>
        <v>4537.5</v>
      </c>
      <c r="Y116" s="6">
        <f t="shared" ca="1" si="12"/>
        <v>2889.5</v>
      </c>
      <c r="Z116" s="6">
        <f t="shared" ca="1" si="12"/>
        <v>2891.5</v>
      </c>
      <c r="AA116" s="6">
        <f t="shared" ca="1" si="12"/>
        <v>6210.25</v>
      </c>
      <c r="AB116" s="6">
        <f t="shared" ca="1" si="12"/>
        <v>7773.5</v>
      </c>
      <c r="AC116" s="6">
        <f t="shared" ca="1" si="12"/>
        <v>10847.75</v>
      </c>
      <c r="AD116" s="6">
        <f t="shared" ca="1" si="12"/>
        <v>6096.75</v>
      </c>
      <c r="AE116" s="6">
        <f t="shared" ca="1" si="12"/>
        <v>4330.5</v>
      </c>
      <c r="AF116" s="6">
        <f t="shared" ca="1" si="12"/>
        <v>10284</v>
      </c>
      <c r="AG116" s="6">
        <f t="shared" ca="1" si="12"/>
        <v>3383.5</v>
      </c>
    </row>
    <row r="117" spans="2:33" x14ac:dyDescent="0.3">
      <c r="B117" t="s">
        <v>5</v>
      </c>
      <c r="E117" s="6">
        <f t="shared" ref="E117:AG117" ca="1" si="13">AVERAGE(OFFSET($B21,0,4*(COLUMN(D117)-COLUMN($B$102)),1,4))</f>
        <v>2.5714285714285716</v>
      </c>
      <c r="F117" s="6">
        <f t="shared" ca="1" si="13"/>
        <v>1.4285714285714286</v>
      </c>
      <c r="G117" s="6">
        <f t="shared" ca="1" si="13"/>
        <v>2.1071428571428572</v>
      </c>
      <c r="H117" s="6">
        <f t="shared" ca="1" si="13"/>
        <v>2.0357142857142856</v>
      </c>
      <c r="I117" s="6">
        <f t="shared" ca="1" si="13"/>
        <v>7.6785714285714297</v>
      </c>
      <c r="J117" s="6">
        <f t="shared" ca="1" si="13"/>
        <v>0.5</v>
      </c>
      <c r="K117" s="6">
        <f t="shared" ca="1" si="13"/>
        <v>1.6785714285714284</v>
      </c>
      <c r="L117" s="6">
        <f t="shared" ca="1" si="13"/>
        <v>27.535714285714285</v>
      </c>
      <c r="M117" s="6">
        <f t="shared" ca="1" si="13"/>
        <v>12639</v>
      </c>
      <c r="N117" s="6">
        <f t="shared" ca="1" si="13"/>
        <v>16380.678571428572</v>
      </c>
      <c r="O117" s="6">
        <f t="shared" ca="1" si="13"/>
        <v>62853.642857142855</v>
      </c>
      <c r="P117" s="6">
        <f t="shared" ca="1" si="13"/>
        <v>932.5</v>
      </c>
      <c r="Q117" s="6">
        <f t="shared" ca="1" si="13"/>
        <v>60345</v>
      </c>
      <c r="R117" s="6">
        <f t="shared" ca="1" si="13"/>
        <v>97343.5</v>
      </c>
      <c r="S117" s="6">
        <f t="shared" ca="1" si="13"/>
        <v>89970.5</v>
      </c>
      <c r="T117" s="6">
        <f t="shared" ca="1" si="13"/>
        <v>123884.25</v>
      </c>
      <c r="U117" s="6">
        <f t="shared" ca="1" si="13"/>
        <v>108718.75</v>
      </c>
      <c r="V117" s="6">
        <f t="shared" ca="1" si="13"/>
        <v>106585.5</v>
      </c>
      <c r="W117" s="6">
        <f t="shared" ca="1" si="13"/>
        <v>74400</v>
      </c>
      <c r="X117" s="6">
        <f t="shared" ca="1" si="13"/>
        <v>130250.75</v>
      </c>
      <c r="Y117" s="6">
        <f t="shared" ca="1" si="13"/>
        <v>197652.25</v>
      </c>
      <c r="Z117" s="6">
        <f t="shared" ca="1" si="13"/>
        <v>108858.75</v>
      </c>
      <c r="AA117" s="6">
        <f t="shared" ca="1" si="13"/>
        <v>66703.5</v>
      </c>
      <c r="AB117" s="6">
        <f t="shared" ca="1" si="13"/>
        <v>151.25</v>
      </c>
      <c r="AC117" s="6">
        <f t="shared" ca="1" si="13"/>
        <v>4570.25</v>
      </c>
      <c r="AD117" s="6">
        <f t="shared" ca="1" si="13"/>
        <v>878</v>
      </c>
      <c r="AE117" s="6">
        <f t="shared" ca="1" si="13"/>
        <v>1451.5</v>
      </c>
      <c r="AF117" s="6">
        <f t="shared" ca="1" si="13"/>
        <v>31342.25</v>
      </c>
      <c r="AG117" s="6">
        <f t="shared" ca="1" si="13"/>
        <v>17071.5</v>
      </c>
    </row>
    <row r="118" spans="2:33" x14ac:dyDescent="0.3">
      <c r="B118" t="s">
        <v>6</v>
      </c>
      <c r="E118" s="6">
        <f t="shared" ref="E118:AG118" ca="1" si="14">AVERAGE(OFFSET($B22,0,4*(COLUMN(D118)-COLUMN($B$102)),1,4))</f>
        <v>0.2857142857142857</v>
      </c>
      <c r="F118" s="6">
        <f t="shared" ca="1" si="14"/>
        <v>0.2142857142857143</v>
      </c>
      <c r="G118" s="6">
        <f t="shared" ca="1" si="14"/>
        <v>0.42857142857142855</v>
      </c>
      <c r="H118" s="6">
        <f t="shared" ca="1" si="14"/>
        <v>0.2857142857142857</v>
      </c>
      <c r="I118" s="6">
        <f t="shared" ca="1" si="14"/>
        <v>1.3214285714285714</v>
      </c>
      <c r="J118" s="6">
        <f t="shared" ca="1" si="14"/>
        <v>0.75</v>
      </c>
      <c r="K118" s="6">
        <f t="shared" ca="1" si="14"/>
        <v>0.14285714285714285</v>
      </c>
      <c r="L118" s="6">
        <f t="shared" ca="1" si="14"/>
        <v>3.5714285714285712E-2</v>
      </c>
      <c r="M118" s="6">
        <f t="shared" ca="1" si="14"/>
        <v>0.17857142857142855</v>
      </c>
      <c r="N118" s="6">
        <f t="shared" ca="1" si="14"/>
        <v>2.0357142857142856</v>
      </c>
      <c r="O118" s="6">
        <f t="shared" ca="1" si="14"/>
        <v>0</v>
      </c>
      <c r="P118" s="6"/>
      <c r="Q118" s="6">
        <f t="shared" ca="1" si="14"/>
        <v>8</v>
      </c>
      <c r="R118" s="6">
        <f t="shared" ca="1" si="14"/>
        <v>9.6050000000000004</v>
      </c>
      <c r="S118" s="6">
        <f t="shared" ca="1" si="14"/>
        <v>16.25</v>
      </c>
      <c r="T118" s="6">
        <f t="shared" ca="1" si="14"/>
        <v>16.75</v>
      </c>
      <c r="U118" s="6">
        <f t="shared" ca="1" si="14"/>
        <v>16.25</v>
      </c>
      <c r="V118" s="6">
        <f t="shared" ca="1" si="14"/>
        <v>9.75</v>
      </c>
      <c r="W118" s="6">
        <f t="shared" ca="1" si="14"/>
        <v>188.64250000000001</v>
      </c>
      <c r="X118" s="6">
        <f t="shared" ca="1" si="14"/>
        <v>8.25</v>
      </c>
      <c r="Y118" s="6">
        <f t="shared" ca="1" si="14"/>
        <v>7</v>
      </c>
      <c r="Z118" s="6">
        <f t="shared" ca="1" si="14"/>
        <v>85.25</v>
      </c>
      <c r="AA118" s="6">
        <f t="shared" ca="1" si="14"/>
        <v>79.5</v>
      </c>
      <c r="AB118" s="6">
        <f t="shared" ca="1" si="14"/>
        <v>4.25</v>
      </c>
      <c r="AC118" s="6">
        <f t="shared" ca="1" si="14"/>
        <v>13.25</v>
      </c>
      <c r="AD118" s="6">
        <f t="shared" ca="1" si="14"/>
        <v>11.75</v>
      </c>
      <c r="AE118" s="6">
        <f t="shared" ca="1" si="14"/>
        <v>12.25</v>
      </c>
      <c r="AF118" s="6">
        <f t="shared" ca="1" si="14"/>
        <v>10.5</v>
      </c>
      <c r="AG118" s="6">
        <f t="shared" ca="1" si="14"/>
        <v>17.75</v>
      </c>
    </row>
    <row r="120" spans="2:33" x14ac:dyDescent="0.3">
      <c r="B120" s="5" t="s">
        <v>25</v>
      </c>
    </row>
    <row r="121" spans="2:33" x14ac:dyDescent="0.3">
      <c r="B121" t="s">
        <v>4</v>
      </c>
      <c r="D121" s="6">
        <f t="shared" ref="D121:AG122" ca="1" si="15">AVERAGE(OFFSET($B25,0,4*(COLUMN(C121)-COLUMN($B$102)),1,4))</f>
        <v>104</v>
      </c>
      <c r="E121" s="6">
        <f t="shared" ca="1" si="15"/>
        <v>78.142857142857139</v>
      </c>
      <c r="F121" s="6">
        <f t="shared" ca="1" si="15"/>
        <v>75.5</v>
      </c>
      <c r="G121" s="6">
        <f t="shared" ca="1" si="15"/>
        <v>114.75</v>
      </c>
      <c r="H121" s="6">
        <f t="shared" ca="1" si="15"/>
        <v>187.82142857142858</v>
      </c>
      <c r="I121" s="6">
        <f t="shared" ca="1" si="15"/>
        <v>207.99999999999997</v>
      </c>
      <c r="J121" s="6">
        <f t="shared" ca="1" si="15"/>
        <v>68.5</v>
      </c>
      <c r="K121" s="6">
        <f t="shared" ca="1" si="15"/>
        <v>99.5</v>
      </c>
      <c r="L121" s="6">
        <f t="shared" ca="1" si="15"/>
        <v>66.357142857142861</v>
      </c>
      <c r="M121" s="6">
        <f t="shared" ca="1" si="15"/>
        <v>126.46428571428571</v>
      </c>
      <c r="N121" s="6">
        <f t="shared" ca="1" si="15"/>
        <v>59.535714285714285</v>
      </c>
      <c r="O121" s="6">
        <f t="shared" ca="1" si="15"/>
        <v>100.85714285714286</v>
      </c>
      <c r="P121" s="6">
        <f t="shared" ca="1" si="15"/>
        <v>83.285714285714292</v>
      </c>
      <c r="Q121" s="6">
        <f t="shared" ca="1" si="15"/>
        <v>97.535714285714278</v>
      </c>
      <c r="R121" s="6">
        <f t="shared" ca="1" si="15"/>
        <v>66.285714285714292</v>
      </c>
      <c r="S121" s="6">
        <f t="shared" ca="1" si="15"/>
        <v>108.53571428571429</v>
      </c>
      <c r="T121" s="6">
        <f t="shared" ca="1" si="15"/>
        <v>112.75</v>
      </c>
      <c r="U121" s="6">
        <f t="shared" ca="1" si="15"/>
        <v>4542.8571428571422</v>
      </c>
      <c r="V121" s="6">
        <f t="shared" ca="1" si="15"/>
        <v>1217.8571428571429</v>
      </c>
      <c r="W121" s="6">
        <f t="shared" ca="1" si="15"/>
        <v>4102.6785714285716</v>
      </c>
      <c r="X121" s="6">
        <f t="shared" ca="1" si="15"/>
        <v>103.10714285714286</v>
      </c>
      <c r="Y121" s="6">
        <f t="shared" ca="1" si="15"/>
        <v>1018.7857142857142</v>
      </c>
      <c r="Z121" s="6">
        <f t="shared" ca="1" si="15"/>
        <v>870.64285714285722</v>
      </c>
      <c r="AA121" s="6">
        <f t="shared" ca="1" si="15"/>
        <v>881.71428571428567</v>
      </c>
      <c r="AB121" s="6">
        <f t="shared" ca="1" si="15"/>
        <v>102.14285714285715</v>
      </c>
      <c r="AC121" s="6">
        <f t="shared" ca="1" si="15"/>
        <v>4121.5</v>
      </c>
      <c r="AD121" s="6">
        <f t="shared" ca="1" si="15"/>
        <v>108.46428571428572</v>
      </c>
      <c r="AE121" s="6">
        <f t="shared" ca="1" si="15"/>
        <v>24492.392857142859</v>
      </c>
      <c r="AF121" s="6">
        <f t="shared" ca="1" si="15"/>
        <v>193761.21428571429</v>
      </c>
      <c r="AG121" s="6">
        <f t="shared" ca="1" si="15"/>
        <v>221780.67857142861</v>
      </c>
    </row>
    <row r="122" spans="2:33" x14ac:dyDescent="0.3">
      <c r="B122" t="s">
        <v>10</v>
      </c>
      <c r="D122" s="6">
        <f t="shared" ca="1" si="15"/>
        <v>103</v>
      </c>
      <c r="E122" s="6">
        <f t="shared" ca="1" si="15"/>
        <v>95.5</v>
      </c>
      <c r="F122" s="6">
        <f t="shared" ca="1" si="15"/>
        <v>192.82142857142858</v>
      </c>
      <c r="G122" s="6">
        <f t="shared" ca="1" si="15"/>
        <v>214.96428571428572</v>
      </c>
      <c r="H122" s="6">
        <f t="shared" ca="1" si="15"/>
        <v>208.64285714285711</v>
      </c>
      <c r="I122" s="6">
        <f t="shared" ca="1" si="15"/>
        <v>219.28571428571428</v>
      </c>
      <c r="J122" s="6">
        <f t="shared" ca="1" si="15"/>
        <v>208.75</v>
      </c>
      <c r="K122" s="6">
        <f t="shared" ca="1" si="15"/>
        <v>223</v>
      </c>
      <c r="L122" s="6">
        <f t="shared" ca="1" si="15"/>
        <v>212.35714285714286</v>
      </c>
      <c r="M122" s="6">
        <f t="shared" ca="1" si="15"/>
        <v>137.5</v>
      </c>
      <c r="N122" s="6">
        <f t="shared" ca="1" si="15"/>
        <v>213.64285714285714</v>
      </c>
      <c r="O122" s="6">
        <f t="shared" ca="1" si="15"/>
        <v>238.89285714285714</v>
      </c>
      <c r="P122" s="6">
        <f t="shared" ca="1" si="15"/>
        <v>202.21428571428569</v>
      </c>
      <c r="Q122" s="6">
        <f t="shared" ca="1" si="15"/>
        <v>237.46428571428569</v>
      </c>
      <c r="R122" s="6">
        <f t="shared" ca="1" si="15"/>
        <v>200.03571428571428</v>
      </c>
      <c r="S122" s="6">
        <f t="shared" ca="1" si="15"/>
        <v>187.89285714285717</v>
      </c>
      <c r="T122" s="6">
        <f t="shared" ca="1" si="15"/>
        <v>198.25</v>
      </c>
      <c r="U122" s="6">
        <f t="shared" ca="1" si="15"/>
        <v>242.71428571428572</v>
      </c>
      <c r="V122" s="6">
        <f t="shared" ca="1" si="15"/>
        <v>8616.7857142857138</v>
      </c>
      <c r="W122" s="6">
        <f t="shared" ca="1" si="15"/>
        <v>193.89285714285714</v>
      </c>
      <c r="X122" s="6">
        <f t="shared" ca="1" si="15"/>
        <v>211.28571428571428</v>
      </c>
      <c r="Y122" s="6">
        <f t="shared" ca="1" si="15"/>
        <v>211.03571428571425</v>
      </c>
      <c r="Z122" s="6">
        <f t="shared" ca="1" si="15"/>
        <v>192.46428571428572</v>
      </c>
      <c r="AA122" s="6">
        <f t="shared" ca="1" si="15"/>
        <v>149.28571428571428</v>
      </c>
      <c r="AB122" s="6">
        <f t="shared" ca="1" si="15"/>
        <v>140.71428571428572</v>
      </c>
      <c r="AC122" s="6">
        <f t="shared" ca="1" si="15"/>
        <v>150.75</v>
      </c>
      <c r="AD122" s="6">
        <f t="shared" ca="1" si="15"/>
        <v>164.5</v>
      </c>
      <c r="AE122" s="6">
        <f t="shared" ca="1" si="15"/>
        <v>129.46428571428572</v>
      </c>
      <c r="AF122" s="6">
        <f t="shared" ca="1" si="15"/>
        <v>24.857142857142858</v>
      </c>
      <c r="AG122" s="6">
        <f t="shared" ca="1" si="15"/>
        <v>24.714285714285715</v>
      </c>
    </row>
    <row r="123" spans="2:33" x14ac:dyDescent="0.3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2:33" x14ac:dyDescent="0.3">
      <c r="B124" t="s">
        <v>26</v>
      </c>
    </row>
    <row r="125" spans="2:33" x14ac:dyDescent="0.3">
      <c r="B125" s="5" t="s">
        <v>33</v>
      </c>
      <c r="C125" s="6">
        <f t="shared" ref="C125:AG125" ca="1" si="16">AVERAGE(OFFSET($B29,0,4*(COLUMN(B125)-COLUMN($B$102)),1,4))</f>
        <v>34411.5</v>
      </c>
      <c r="D125" s="6">
        <f t="shared" ca="1" si="16"/>
        <v>39294.5</v>
      </c>
      <c r="E125" s="6">
        <f t="shared" ca="1" si="16"/>
        <v>23928.782142857141</v>
      </c>
      <c r="F125" s="6">
        <f t="shared" ca="1" si="16"/>
        <v>35554.789285714287</v>
      </c>
      <c r="G125" s="6">
        <f t="shared" ca="1" si="16"/>
        <v>30053.999999999996</v>
      </c>
      <c r="H125" s="6">
        <f t="shared" ca="1" si="16"/>
        <v>28712.560714285712</v>
      </c>
      <c r="I125" s="6">
        <f t="shared" ca="1" si="16"/>
        <v>26033.935714285712</v>
      </c>
      <c r="J125" s="6">
        <f t="shared" ca="1" si="16"/>
        <v>30041.525000000001</v>
      </c>
      <c r="K125" s="6">
        <f t="shared" ca="1" si="16"/>
        <v>50135.896428571432</v>
      </c>
      <c r="L125" s="6">
        <f t="shared" ca="1" si="16"/>
        <v>27563.110714285714</v>
      </c>
      <c r="M125" s="6">
        <f t="shared" ca="1" si="16"/>
        <v>64106.142857142855</v>
      </c>
      <c r="N125" s="6">
        <f t="shared" ca="1" si="16"/>
        <v>66865.742857142861</v>
      </c>
      <c r="O125" s="6">
        <f t="shared" ca="1" si="16"/>
        <v>87089.07142857142</v>
      </c>
      <c r="P125" s="6">
        <f t="shared" ca="1" si="16"/>
        <v>39742</v>
      </c>
      <c r="Q125" s="6">
        <f t="shared" ca="1" si="16"/>
        <v>115104.32500000001</v>
      </c>
      <c r="R125" s="6">
        <f t="shared" ca="1" si="16"/>
        <v>132287.67642857146</v>
      </c>
      <c r="S125" s="6">
        <f t="shared" ca="1" si="16"/>
        <v>173828.67857142858</v>
      </c>
      <c r="T125" s="6">
        <f t="shared" ca="1" si="16"/>
        <v>217426.42499999999</v>
      </c>
      <c r="U125" s="6">
        <f t="shared" ca="1" si="16"/>
        <v>284691.62142857141</v>
      </c>
      <c r="V125" s="6">
        <f t="shared" ca="1" si="16"/>
        <v>193309.64285714284</v>
      </c>
      <c r="W125" s="6">
        <f t="shared" ca="1" si="16"/>
        <v>209432.73892857143</v>
      </c>
      <c r="X125" s="6">
        <f t="shared" ca="1" si="16"/>
        <v>184427.89285714287</v>
      </c>
      <c r="Y125" s="6">
        <f t="shared" ca="1" si="16"/>
        <v>217365.82142857142</v>
      </c>
      <c r="Z125" s="6">
        <f t="shared" ca="1" si="16"/>
        <v>138377.00714285715</v>
      </c>
      <c r="AA125" s="6">
        <f t="shared" ca="1" si="16"/>
        <v>99899</v>
      </c>
      <c r="AB125" s="6">
        <f t="shared" ca="1" si="16"/>
        <v>32946.357142857145</v>
      </c>
      <c r="AC125" s="6">
        <f t="shared" ca="1" si="16"/>
        <v>37235.25</v>
      </c>
      <c r="AD125" s="6">
        <f t="shared" ca="1" si="16"/>
        <v>33569.539285714287</v>
      </c>
      <c r="AE125" s="6">
        <f t="shared" ca="1" si="16"/>
        <v>46165.857142857145</v>
      </c>
      <c r="AF125" s="6">
        <f t="shared" ca="1" si="16"/>
        <v>254530.46428571429</v>
      </c>
      <c r="AG125" s="6">
        <f t="shared" ca="1" si="16"/>
        <v>268339.61428571428</v>
      </c>
    </row>
    <row r="126" spans="2:33" x14ac:dyDescent="0.3">
      <c r="C126" s="6">
        <f ca="1">SUM(C102:C105,C108,C110:C112,C115:C118,C121:C122,C124)</f>
        <v>34411.5</v>
      </c>
      <c r="D126" s="6">
        <f t="shared" ref="D126:AG126" ca="1" si="17">SUM(D102:D105,D108,D110:D112,D115:D118,D121:D122,D124)</f>
        <v>39449.75</v>
      </c>
      <c r="E126" s="6">
        <f t="shared" ca="1" si="17"/>
        <v>23930.924999999999</v>
      </c>
      <c r="F126" s="6">
        <f t="shared" ca="1" si="17"/>
        <v>35554.78928571428</v>
      </c>
      <c r="G126" s="6">
        <f t="shared" ca="1" si="17"/>
        <v>30054</v>
      </c>
      <c r="H126" s="6">
        <f t="shared" ca="1" si="17"/>
        <v>28712.560714285715</v>
      </c>
      <c r="I126" s="6">
        <f t="shared" ca="1" si="17"/>
        <v>26033.935714285715</v>
      </c>
      <c r="J126" s="6">
        <f t="shared" ca="1" si="17"/>
        <v>30041.525000000001</v>
      </c>
      <c r="K126" s="6">
        <f t="shared" ca="1" si="17"/>
        <v>50135.896428571425</v>
      </c>
      <c r="L126" s="6">
        <f t="shared" ca="1" si="17"/>
        <v>27563.110714285711</v>
      </c>
      <c r="M126" s="6">
        <f t="shared" ca="1" si="17"/>
        <v>64106.142857142855</v>
      </c>
      <c r="N126" s="6">
        <f t="shared" ca="1" si="17"/>
        <v>66865.742857142846</v>
      </c>
      <c r="O126" s="6">
        <f t="shared" ca="1" si="17"/>
        <v>118515.89285714286</v>
      </c>
      <c r="P126" s="6">
        <f t="shared" ca="1" si="17"/>
        <v>42201</v>
      </c>
      <c r="Q126" s="6">
        <f t="shared" ca="1" si="17"/>
        <v>115110.325</v>
      </c>
      <c r="R126" s="6">
        <f t="shared" ca="1" si="17"/>
        <v>132287.67642857143</v>
      </c>
      <c r="S126" s="6">
        <f t="shared" ca="1" si="17"/>
        <v>173828.67857142858</v>
      </c>
      <c r="T126" s="6">
        <f t="shared" ca="1" si="17"/>
        <v>217426.42499999999</v>
      </c>
      <c r="U126" s="6">
        <f t="shared" ca="1" si="17"/>
        <v>284691.62142857141</v>
      </c>
      <c r="V126" s="6">
        <f t="shared" ca="1" si="17"/>
        <v>193309.64285714284</v>
      </c>
      <c r="W126" s="6">
        <f t="shared" ca="1" si="17"/>
        <v>209432.73892857143</v>
      </c>
      <c r="X126" s="6">
        <f t="shared" ca="1" si="17"/>
        <v>184427.89285714284</v>
      </c>
      <c r="Y126" s="6">
        <f t="shared" ca="1" si="17"/>
        <v>217359.32142857142</v>
      </c>
      <c r="Z126" s="6">
        <f t="shared" ca="1" si="17"/>
        <v>138374.25714285715</v>
      </c>
      <c r="AA126" s="6">
        <f t="shared" ca="1" si="17"/>
        <v>99898.5</v>
      </c>
      <c r="AB126" s="6">
        <f t="shared" ca="1" si="17"/>
        <v>32987.607142857138</v>
      </c>
      <c r="AC126" s="6">
        <f t="shared" ca="1" si="17"/>
        <v>37235.25</v>
      </c>
      <c r="AD126" s="6">
        <f t="shared" ca="1" si="17"/>
        <v>33569.53928571428</v>
      </c>
      <c r="AE126" s="6">
        <f t="shared" ca="1" si="17"/>
        <v>46165.857142857138</v>
      </c>
      <c r="AF126" s="6">
        <f t="shared" ca="1" si="17"/>
        <v>254555.32142857142</v>
      </c>
      <c r="AG126" s="6">
        <f t="shared" ca="1" si="17"/>
        <v>268357.29285714286</v>
      </c>
    </row>
    <row r="128" spans="2:33" x14ac:dyDescent="0.3">
      <c r="C128" s="8">
        <f>(COLUMN(D99)-COLUMN($B$102))</f>
        <v>2</v>
      </c>
    </row>
    <row r="143" ht="18" customHeight="1" x14ac:dyDescent="0.3"/>
  </sheetData>
  <pageMargins left="0.7" right="0.7" top="0.75" bottom="0.75" header="0.51180555555555496" footer="0.51180555555555496"/>
  <pageSetup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cols>
    <col min="1" max="1025" width="8.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cols>
    <col min="1" max="1025" width="8.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McGlynn</dc:creator>
  <cp:lastModifiedBy>Mcglynn, Thomas A. (GSFC-6601)</cp:lastModifiedBy>
  <cp:revision>0</cp:revision>
  <cp:lastPrinted>2016-11-07T16:16:47Z</cp:lastPrinted>
  <dcterms:created xsi:type="dcterms:W3CDTF">2014-12-08T14:42:49Z</dcterms:created>
  <dcterms:modified xsi:type="dcterms:W3CDTF">2017-10-25T19:45:03Z</dcterms:modified>
</cp:coreProperties>
</file>